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ctrlProps/ctrlProp2.xml" ContentType="application/vnd.ms-excel.controlpropertie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ctrlProps/ctrlProp3.xml" ContentType="application/vnd.ms-excel.controlpropertie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ctrlProps/ctrlProp4.xml" ContentType="application/vnd.ms-excel.controlproperties+xml"/>
  <Override PartName="/xl/drawings/drawing9.xml" ContentType="application/vnd.openxmlformats-officedocument.drawing+xml"/>
  <Override PartName="/xl/ctrlProps/ctrlProp5.xml" ContentType="application/vnd.ms-excel.controlproperties+xml"/>
  <Override PartName="/xl/drawings/drawing10.xml" ContentType="application/vnd.openxmlformats-officedocument.drawing+xml"/>
  <Override PartName="/xl/ctrlProps/ctrlProp6.xml" ContentType="application/vnd.ms-excel.controlproperties+xml"/>
  <Override PartName="/xl/drawings/drawing11.xml" ContentType="application/vnd.openxmlformats-officedocument.drawing+xml"/>
  <Override PartName="/xl/ctrlProps/ctrlProp7.xml" ContentType="application/vnd.ms-excel.controlproperties+xml"/>
  <Override PartName="/xl/drawings/drawing12.xml" ContentType="application/vnd.openxmlformats-officedocument.drawing+xml"/>
  <Override PartName="/xl/ctrlProps/ctrlProp8.xml" ContentType="application/vnd.ms-excel.controlproperties+xml"/>
  <Override PartName="/xl/drawings/drawing13.xml" ContentType="application/vnd.openxmlformats-officedocument.drawing+xml"/>
  <Override PartName="/xl/ctrlProps/ctrlProp9.xml" ContentType="application/vnd.ms-excel.controlproperties+xml"/>
  <Override PartName="/xl/drawings/drawing1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rome\Desktop\Gautier\Client\"/>
    </mc:Choice>
  </mc:AlternateContent>
  <xr:revisionPtr revIDLastSave="0" documentId="13_ncr:1_{34CF0E67-88B4-46DE-8352-631984E3370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Accueil" sheetId="10" r:id="rId1"/>
    <sheet name="Accueil 2 FR" sheetId="11" r:id="rId2"/>
    <sheet name="Accueil 2 EN" sheetId="13" r:id="rId3"/>
    <sheet name="Accueil 2 ND" sheetId="16" r:id="rId4"/>
    <sheet name="Calcu Bas Fr" sheetId="9" r:id="rId5"/>
    <sheet name="Calcu Bas EN" sheetId="14" r:id="rId6"/>
    <sheet name="Calcu Bas ND" sheetId="15" r:id="rId7"/>
    <sheet name="Données Bas" sheetId="8" state="hidden" r:id="rId8"/>
    <sheet name="Calcu Mad FR" sheetId="1" r:id="rId9"/>
    <sheet name="Calcu Mad EN" sheetId="5" r:id="rId10"/>
    <sheet name="Calcu Mad ND" sheetId="4" r:id="rId11"/>
    <sheet name="Calcu Bur FR" sheetId="17" r:id="rId12"/>
    <sheet name="Calcu Bur EN" sheetId="19" r:id="rId13"/>
    <sheet name="Calcu Bur ND" sheetId="20" r:id="rId14"/>
    <sheet name="Données Bur" sheetId="18" r:id="rId15"/>
    <sheet name="Données Mad FR" sheetId="2" state="hidden" r:id="rId16"/>
    <sheet name="Données Mad EN" sheetId="6" state="hidden" r:id="rId17"/>
    <sheet name="Données Mad NL" sheetId="7" state="hidden" r:id="rId18"/>
  </sheets>
  <definedNames>
    <definedName name="MadaVisu">_xlfn.XLOOKUP('Calcu Mad FR'!$E$7,'Données Mad FR'!$A$37:$A$44,'Données Mad FR'!$B$37:$B$44)</definedName>
    <definedName name="MadaVisuEN">_xlfn.XLOOKUP('Calcu Mad EN'!$E$7,'Données Mad FR'!$A$37:$A$44,'Données Mad FR'!$B$37:$B$44)</definedName>
    <definedName name="MadaVisuND">_xlfn.XLOOKUP('Calcu Mad ND'!$E$7,'Données Mad FR'!$A$37:$A$44,'Données Mad FR'!$B$37:$B$44)</definedName>
    <definedName name="pieds" localSheetId="16">'Données Mad EN'!$F$4:$F$5</definedName>
    <definedName name="pieds" localSheetId="17">'Données Mad NL'!$F$4:$F$5</definedName>
    <definedName name="pieds">'Données Mad FR'!$F$4:$F$5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8" l="1"/>
  <c r="E18" i="18"/>
  <c r="E15" i="18"/>
  <c r="E16" i="18"/>
  <c r="D18" i="18"/>
  <c r="D17" i="18"/>
  <c r="D16" i="18"/>
  <c r="D15" i="18"/>
  <c r="E14" i="18"/>
  <c r="D14" i="18"/>
  <c r="D24" i="19"/>
  <c r="D22" i="19"/>
  <c r="I26" i="19"/>
  <c r="L26" i="19"/>
  <c r="K26" i="19"/>
  <c r="F26" i="19"/>
  <c r="I25" i="20"/>
  <c r="L25" i="20"/>
  <c r="K25" i="20"/>
  <c r="F25" i="20"/>
  <c r="D24" i="20"/>
  <c r="D22" i="20"/>
  <c r="D9" i="20"/>
  <c r="D9" i="19"/>
  <c r="D24" i="17"/>
  <c r="D22" i="17"/>
  <c r="K25" i="17"/>
  <c r="L25" i="17"/>
  <c r="I25" i="17"/>
  <c r="F25" i="17"/>
  <c r="F21" i="18"/>
  <c r="D20" i="20"/>
  <c r="D18" i="20"/>
  <c r="C15" i="18"/>
  <c r="C14" i="18"/>
  <c r="D20" i="19"/>
  <c r="D18" i="19"/>
  <c r="D20" i="17"/>
  <c r="D18" i="17"/>
  <c r="D9" i="17"/>
  <c r="E19" i="18" l="1"/>
  <c r="C27" i="20" s="1"/>
  <c r="D19" i="18"/>
  <c r="C27" i="19" s="1"/>
  <c r="C18" i="18"/>
  <c r="C17" i="18"/>
  <c r="C16" i="18"/>
  <c r="H29" i="8"/>
  <c r="J29" i="8" s="1"/>
  <c r="H30" i="8"/>
  <c r="J30" i="8" s="1"/>
  <c r="H28" i="8"/>
  <c r="E25" i="15"/>
  <c r="H22" i="8"/>
  <c r="J22" i="8" s="1"/>
  <c r="H21" i="8"/>
  <c r="J21" i="8" s="1"/>
  <c r="H20" i="8"/>
  <c r="J20" i="8" s="1"/>
  <c r="H18" i="8"/>
  <c r="J18" i="8" s="1"/>
  <c r="H17" i="8"/>
  <c r="G24" i="15" s="1"/>
  <c r="E25" i="14"/>
  <c r="E30" i="8"/>
  <c r="G30" i="8" s="1"/>
  <c r="E29" i="8"/>
  <c r="G29" i="8" s="1"/>
  <c r="E28" i="8"/>
  <c r="G28" i="8" s="1"/>
  <c r="E22" i="8"/>
  <c r="G22" i="8" s="1"/>
  <c r="E21" i="8"/>
  <c r="G21" i="8" s="1"/>
  <c r="E20" i="8"/>
  <c r="G20" i="8" s="1"/>
  <c r="E18" i="8"/>
  <c r="G18" i="8" s="1"/>
  <c r="E17" i="8"/>
  <c r="G24" i="14" s="1"/>
  <c r="B18" i="8"/>
  <c r="D18" i="8" s="1"/>
  <c r="B17" i="8"/>
  <c r="J28" i="8"/>
  <c r="B29" i="8"/>
  <c r="D29" i="8" s="1"/>
  <c r="B30" i="8"/>
  <c r="D30" i="8" s="1"/>
  <c r="B28" i="8"/>
  <c r="E25" i="9"/>
  <c r="E6" i="4"/>
  <c r="E7" i="4" s="1"/>
  <c r="E6" i="5"/>
  <c r="E7" i="5" s="1"/>
  <c r="Y16" i="15"/>
  <c r="X16" i="15"/>
  <c r="W16" i="15"/>
  <c r="V16" i="15"/>
  <c r="U16" i="15"/>
  <c r="T16" i="15"/>
  <c r="S16" i="15"/>
  <c r="R16" i="15"/>
  <c r="Q16" i="15"/>
  <c r="P16" i="15"/>
  <c r="Y15" i="15"/>
  <c r="X15" i="15"/>
  <c r="W15" i="15"/>
  <c r="V15" i="15"/>
  <c r="U15" i="15"/>
  <c r="T15" i="15"/>
  <c r="S15" i="15"/>
  <c r="R15" i="15"/>
  <c r="Q15" i="15"/>
  <c r="P15" i="15"/>
  <c r="Y14" i="15"/>
  <c r="X14" i="15"/>
  <c r="W14" i="15"/>
  <c r="V14" i="15"/>
  <c r="U14" i="15"/>
  <c r="T14" i="15"/>
  <c r="S14" i="15"/>
  <c r="R14" i="15"/>
  <c r="Q14" i="15"/>
  <c r="P14" i="15"/>
  <c r="Y13" i="15"/>
  <c r="X13" i="15"/>
  <c r="W13" i="15"/>
  <c r="V13" i="15"/>
  <c r="U13" i="15"/>
  <c r="T13" i="15"/>
  <c r="S13" i="15"/>
  <c r="R13" i="15"/>
  <c r="Q13" i="15"/>
  <c r="P13" i="15"/>
  <c r="Y12" i="15"/>
  <c r="X12" i="15"/>
  <c r="W12" i="15"/>
  <c r="V12" i="15"/>
  <c r="U12" i="15"/>
  <c r="T12" i="15"/>
  <c r="S12" i="15"/>
  <c r="R12" i="15"/>
  <c r="Q12" i="15"/>
  <c r="P12" i="15"/>
  <c r="Y11" i="15"/>
  <c r="X11" i="15"/>
  <c r="W11" i="15"/>
  <c r="V11" i="15"/>
  <c r="U11" i="15"/>
  <c r="T11" i="15"/>
  <c r="S11" i="15"/>
  <c r="R11" i="15"/>
  <c r="Q11" i="15"/>
  <c r="P11" i="15"/>
  <c r="Y10" i="15"/>
  <c r="X10" i="15"/>
  <c r="W10" i="15"/>
  <c r="V10" i="15"/>
  <c r="U10" i="15"/>
  <c r="T10" i="15"/>
  <c r="S10" i="15"/>
  <c r="R10" i="15"/>
  <c r="Q10" i="15"/>
  <c r="P10" i="15"/>
  <c r="Y9" i="15"/>
  <c r="X9" i="15"/>
  <c r="W9" i="15"/>
  <c r="V9" i="15"/>
  <c r="U9" i="15"/>
  <c r="T9" i="15"/>
  <c r="S9" i="15"/>
  <c r="R9" i="15"/>
  <c r="Q9" i="15"/>
  <c r="P9" i="15"/>
  <c r="Y8" i="15"/>
  <c r="X8" i="15"/>
  <c r="W8" i="15"/>
  <c r="V8" i="15"/>
  <c r="U8" i="15"/>
  <c r="T8" i="15"/>
  <c r="S8" i="15"/>
  <c r="R8" i="15"/>
  <c r="Q8" i="15"/>
  <c r="P8" i="15"/>
  <c r="Y7" i="15"/>
  <c r="X7" i="15"/>
  <c r="W7" i="15"/>
  <c r="V7" i="15"/>
  <c r="U7" i="15"/>
  <c r="T7" i="15"/>
  <c r="S7" i="15"/>
  <c r="R7" i="15"/>
  <c r="Q7" i="15"/>
  <c r="P7" i="15"/>
  <c r="Y16" i="14"/>
  <c r="X16" i="14"/>
  <c r="W16" i="14"/>
  <c r="V16" i="14"/>
  <c r="U16" i="14"/>
  <c r="T16" i="14"/>
  <c r="S16" i="14"/>
  <c r="R16" i="14"/>
  <c r="Q16" i="14"/>
  <c r="P16" i="14"/>
  <c r="Y15" i="14"/>
  <c r="X15" i="14"/>
  <c r="W15" i="14"/>
  <c r="V15" i="14"/>
  <c r="U15" i="14"/>
  <c r="T15" i="14"/>
  <c r="S15" i="14"/>
  <c r="R15" i="14"/>
  <c r="Q15" i="14"/>
  <c r="P15" i="14"/>
  <c r="Y14" i="14"/>
  <c r="X14" i="14"/>
  <c r="W14" i="14"/>
  <c r="V14" i="14"/>
  <c r="U14" i="14"/>
  <c r="T14" i="14"/>
  <c r="S14" i="14"/>
  <c r="R14" i="14"/>
  <c r="Q14" i="14"/>
  <c r="P14" i="14"/>
  <c r="Y13" i="14"/>
  <c r="X13" i="14"/>
  <c r="W13" i="14"/>
  <c r="V13" i="14"/>
  <c r="U13" i="14"/>
  <c r="T13" i="14"/>
  <c r="S13" i="14"/>
  <c r="R13" i="14"/>
  <c r="Q13" i="14"/>
  <c r="P13" i="14"/>
  <c r="Y12" i="14"/>
  <c r="X12" i="14"/>
  <c r="W12" i="14"/>
  <c r="V12" i="14"/>
  <c r="U12" i="14"/>
  <c r="T12" i="14"/>
  <c r="S12" i="14"/>
  <c r="R12" i="14"/>
  <c r="Q12" i="14"/>
  <c r="P12" i="14"/>
  <c r="Y11" i="14"/>
  <c r="X11" i="14"/>
  <c r="W11" i="14"/>
  <c r="V11" i="14"/>
  <c r="U11" i="14"/>
  <c r="T11" i="14"/>
  <c r="S11" i="14"/>
  <c r="R11" i="14"/>
  <c r="Q11" i="14"/>
  <c r="P11" i="14"/>
  <c r="Y10" i="14"/>
  <c r="X10" i="14"/>
  <c r="W10" i="14"/>
  <c r="V10" i="14"/>
  <c r="U10" i="14"/>
  <c r="T10" i="14"/>
  <c r="S10" i="14"/>
  <c r="R10" i="14"/>
  <c r="Q10" i="14"/>
  <c r="P10" i="14"/>
  <c r="Y9" i="14"/>
  <c r="X9" i="14"/>
  <c r="W9" i="14"/>
  <c r="V9" i="14"/>
  <c r="U9" i="14"/>
  <c r="T9" i="14"/>
  <c r="S9" i="14"/>
  <c r="R9" i="14"/>
  <c r="Q9" i="14"/>
  <c r="P9" i="14"/>
  <c r="Y8" i="14"/>
  <c r="X8" i="14"/>
  <c r="W8" i="14"/>
  <c r="V8" i="14"/>
  <c r="U8" i="14"/>
  <c r="T8" i="14"/>
  <c r="S8" i="14"/>
  <c r="R8" i="14"/>
  <c r="Q8" i="14"/>
  <c r="P8" i="14"/>
  <c r="Y7" i="14"/>
  <c r="X7" i="14"/>
  <c r="W7" i="14"/>
  <c r="V7" i="14"/>
  <c r="U7" i="14"/>
  <c r="T7" i="14"/>
  <c r="S7" i="14"/>
  <c r="R7" i="14"/>
  <c r="Q7" i="14"/>
  <c r="P7" i="14"/>
  <c r="D28" i="8"/>
  <c r="B22" i="8"/>
  <c r="D22" i="8" s="1"/>
  <c r="B21" i="8"/>
  <c r="D21" i="8" s="1"/>
  <c r="B20" i="8"/>
  <c r="D20" i="8" s="1"/>
  <c r="Y16" i="9"/>
  <c r="X16" i="9"/>
  <c r="W16" i="9"/>
  <c r="V16" i="9"/>
  <c r="U16" i="9"/>
  <c r="T16" i="9"/>
  <c r="S16" i="9"/>
  <c r="R16" i="9"/>
  <c r="Q16" i="9"/>
  <c r="P16" i="9"/>
  <c r="Y15" i="9"/>
  <c r="X15" i="9"/>
  <c r="W15" i="9"/>
  <c r="V15" i="9"/>
  <c r="U15" i="9"/>
  <c r="T15" i="9"/>
  <c r="S15" i="9"/>
  <c r="R15" i="9"/>
  <c r="Q15" i="9"/>
  <c r="P15" i="9"/>
  <c r="Y14" i="9"/>
  <c r="X14" i="9"/>
  <c r="W14" i="9"/>
  <c r="V14" i="9"/>
  <c r="U14" i="9"/>
  <c r="T14" i="9"/>
  <c r="S14" i="9"/>
  <c r="R14" i="9"/>
  <c r="Q14" i="9"/>
  <c r="P14" i="9"/>
  <c r="Y13" i="9"/>
  <c r="X13" i="9"/>
  <c r="W13" i="9"/>
  <c r="V13" i="9"/>
  <c r="U13" i="9"/>
  <c r="T13" i="9"/>
  <c r="S13" i="9"/>
  <c r="R13" i="9"/>
  <c r="Q13" i="9"/>
  <c r="P13" i="9"/>
  <c r="Y12" i="9"/>
  <c r="X12" i="9"/>
  <c r="W12" i="9"/>
  <c r="V12" i="9"/>
  <c r="U12" i="9"/>
  <c r="T12" i="9"/>
  <c r="S12" i="9"/>
  <c r="R12" i="9"/>
  <c r="Q12" i="9"/>
  <c r="P12" i="9"/>
  <c r="Y11" i="9"/>
  <c r="X11" i="9"/>
  <c r="W11" i="9"/>
  <c r="V11" i="9"/>
  <c r="U11" i="9"/>
  <c r="T11" i="9"/>
  <c r="S11" i="9"/>
  <c r="R11" i="9"/>
  <c r="Q11" i="9"/>
  <c r="P11" i="9"/>
  <c r="Y10" i="9"/>
  <c r="X10" i="9"/>
  <c r="W10" i="9"/>
  <c r="V10" i="9"/>
  <c r="U10" i="9"/>
  <c r="T10" i="9"/>
  <c r="S10" i="9"/>
  <c r="R10" i="9"/>
  <c r="Q10" i="9"/>
  <c r="P10" i="9"/>
  <c r="Y9" i="9"/>
  <c r="X9" i="9"/>
  <c r="W9" i="9"/>
  <c r="V9" i="9"/>
  <c r="U9" i="9"/>
  <c r="T9" i="9"/>
  <c r="S9" i="9"/>
  <c r="R9" i="9"/>
  <c r="Q9" i="9"/>
  <c r="P9" i="9"/>
  <c r="Y8" i="9"/>
  <c r="X8" i="9"/>
  <c r="W8" i="9"/>
  <c r="V8" i="9"/>
  <c r="U8" i="9"/>
  <c r="T8" i="9"/>
  <c r="S8" i="9"/>
  <c r="R8" i="9"/>
  <c r="Q8" i="9"/>
  <c r="P8" i="9"/>
  <c r="Y7" i="9"/>
  <c r="X7" i="9"/>
  <c r="W7" i="9"/>
  <c r="V7" i="9"/>
  <c r="U7" i="9"/>
  <c r="T7" i="9"/>
  <c r="S7" i="9"/>
  <c r="R7" i="9"/>
  <c r="Q7" i="9"/>
  <c r="P7" i="9"/>
  <c r="C19" i="18" l="1"/>
  <c r="D24" i="15"/>
  <c r="E24" i="15"/>
  <c r="F24" i="15"/>
  <c r="H24" i="15"/>
  <c r="H24" i="8"/>
  <c r="J24" i="8" s="1"/>
  <c r="H24" i="14"/>
  <c r="F24" i="14"/>
  <c r="E24" i="14"/>
  <c r="D24" i="14"/>
  <c r="E26" i="8"/>
  <c r="G26" i="8" s="1"/>
  <c r="E25" i="8"/>
  <c r="G25" i="8" s="1"/>
  <c r="E24" i="8"/>
  <c r="G24" i="8" s="1"/>
  <c r="J17" i="8"/>
  <c r="H25" i="8"/>
  <c r="J25" i="8" s="1"/>
  <c r="H26" i="8"/>
  <c r="J26" i="8" s="1"/>
  <c r="G17" i="8"/>
  <c r="Q18" i="15"/>
  <c r="Q18" i="14"/>
  <c r="U18" i="15"/>
  <c r="U18" i="14"/>
  <c r="D24" i="9"/>
  <c r="E24" i="9"/>
  <c r="B24" i="8"/>
  <c r="D24" i="8" s="1"/>
  <c r="F24" i="9"/>
  <c r="G24" i="9"/>
  <c r="H24" i="9"/>
  <c r="U18" i="9"/>
  <c r="Q18" i="9"/>
  <c r="D17" i="8"/>
  <c r="B25" i="8"/>
  <c r="D25" i="8" s="1"/>
  <c r="B26" i="8"/>
  <c r="D26" i="8" s="1"/>
  <c r="B29" i="7"/>
  <c r="B29" i="6"/>
  <c r="D6" i="4"/>
  <c r="B26" i="7" s="1"/>
  <c r="D12" i="4"/>
  <c r="D6" i="1"/>
  <c r="B26" i="2" s="1"/>
  <c r="B33" i="2" s="1"/>
  <c r="E6" i="1"/>
  <c r="D12" i="1"/>
  <c r="B29" i="2"/>
  <c r="D9" i="4"/>
  <c r="B30" i="7"/>
  <c r="D6" i="5"/>
  <c r="B26" i="6" s="1"/>
  <c r="D12" i="5"/>
  <c r="D9" i="5"/>
  <c r="B25" i="6"/>
  <c r="D9" i="1"/>
  <c r="C27" i="17" l="1"/>
  <c r="B27" i="7"/>
  <c r="C27" i="7" s="1"/>
  <c r="B28" i="7" s="1"/>
  <c r="B27" i="6"/>
  <c r="C27" i="6" s="1"/>
  <c r="B30" i="2"/>
  <c r="E7" i="1"/>
  <c r="J32" i="8"/>
  <c r="G32" i="8"/>
  <c r="B31" i="7"/>
  <c r="B27" i="2"/>
  <c r="C27" i="2" s="1"/>
  <c r="B28" i="2" s="1"/>
  <c r="B31" i="6"/>
  <c r="B33" i="7"/>
  <c r="B33" i="6"/>
  <c r="D32" i="8"/>
  <c r="B30" i="6"/>
  <c r="B31" i="2"/>
  <c r="B25" i="7"/>
  <c r="B25" i="2"/>
  <c r="B28" i="6"/>
  <c r="B32" i="7" l="1"/>
  <c r="B32" i="6"/>
  <c r="F15" i="5" s="1"/>
  <c r="J34" i="8"/>
  <c r="C21" i="15"/>
  <c r="G34" i="8"/>
  <c r="C21" i="14"/>
  <c r="B32" i="2"/>
  <c r="F15" i="1" s="1"/>
  <c r="F15" i="4"/>
  <c r="D34" i="8"/>
  <c r="C21" i="9"/>
</calcChain>
</file>

<file path=xl/sharedStrings.xml><?xml version="1.0" encoding="utf-8"?>
<sst xmlns="http://schemas.openxmlformats.org/spreadsheetml/2006/main" count="447" uniqueCount="237">
  <si>
    <t>récap liste des prix</t>
  </si>
  <si>
    <t>Arm 1p ss tab</t>
  </si>
  <si>
    <t>Arm 2p ss tab</t>
  </si>
  <si>
    <t>Arm 3p ss tab</t>
  </si>
  <si>
    <t>pieds</t>
  </si>
  <si>
    <t>std</t>
  </si>
  <si>
    <t>sur mes</t>
  </si>
  <si>
    <t>laqué 1p</t>
  </si>
  <si>
    <t>bois nat 1p</t>
  </si>
  <si>
    <t>laqué 2p</t>
  </si>
  <si>
    <t>bois nat 2p</t>
  </si>
  <si>
    <t>laqué 3p</t>
  </si>
  <si>
    <t>lingère</t>
  </si>
  <si>
    <t>penderie, hang</t>
  </si>
  <si>
    <t>Arm 4p ss tab</t>
  </si>
  <si>
    <t>bois nat 3p</t>
  </si>
  <si>
    <t>laqué 4p</t>
  </si>
  <si>
    <t>bois nat 4p</t>
  </si>
  <si>
    <t>Avec Pied hauteur 15cm ?</t>
  </si>
  <si>
    <t>nbre de porte</t>
  </si>
  <si>
    <t>formule pour prix = BxC1XC2XC3X(1+((YV-SV)X0,5))+P+T+H</t>
  </si>
  <si>
    <t>Valeur B</t>
  </si>
  <si>
    <t>Valeur C1</t>
  </si>
  <si>
    <t>Valeur C2</t>
  </si>
  <si>
    <t>Valeur C3</t>
  </si>
  <si>
    <t>Valeur YV</t>
  </si>
  <si>
    <t>Valeur SV</t>
  </si>
  <si>
    <t>Valeur P</t>
  </si>
  <si>
    <t>Valeur T</t>
  </si>
  <si>
    <t>Valeur H</t>
  </si>
  <si>
    <t xml:space="preserve">Pieds </t>
  </si>
  <si>
    <t>Votre prix</t>
  </si>
  <si>
    <t>Sur mesure</t>
  </si>
  <si>
    <t>Nombre de portes</t>
  </si>
  <si>
    <t xml:space="preserve"> Dimension standard=55</t>
  </si>
  <si>
    <t>Dimension standard=185</t>
  </si>
  <si>
    <t>Bespoke</t>
  </si>
  <si>
    <t>Number of doors</t>
  </si>
  <si>
    <t>Your price</t>
  </si>
  <si>
    <t>Standard size = 185</t>
  </si>
  <si>
    <t xml:space="preserve"> Standard size = 55</t>
  </si>
  <si>
    <t>With foot height 15cm ?</t>
  </si>
  <si>
    <t>Uw prijs</t>
  </si>
  <si>
    <t>Standaard maat = 185</t>
  </si>
  <si>
    <t>Speciaal gemaakt</t>
  </si>
  <si>
    <t>Antaal deuren</t>
  </si>
  <si>
    <t>Met  voet hoogte 15cm ?</t>
  </si>
  <si>
    <t xml:space="preserve"> Standaard maat = 55</t>
  </si>
  <si>
    <t>les penderies se fixent sous une tablette</t>
  </si>
  <si>
    <t>bar is attached under one of the shelf</t>
  </si>
  <si>
    <t>hang baar wordt onder een plank bevestigd</t>
  </si>
  <si>
    <t>Largeur Colonne</t>
  </si>
  <si>
    <t>Hauteur colonnes</t>
  </si>
  <si>
    <t>Nbr caisson portes</t>
  </si>
  <si>
    <t>-</t>
  </si>
  <si>
    <t>Quantité</t>
  </si>
  <si>
    <t>Prix</t>
  </si>
  <si>
    <t>Total</t>
  </si>
  <si>
    <t>Nombre d'étages hauteur 26cm</t>
  </si>
  <si>
    <t>Nombre d'étages hauteur 36cm</t>
  </si>
  <si>
    <t>Nombre de colonnes en 53 cm</t>
  </si>
  <si>
    <t>Nombre de colonnes en 73 cm</t>
  </si>
  <si>
    <t>Nombre de colonnes en 93 cm</t>
  </si>
  <si>
    <t>Nombre d'alvéoles en 53 cm</t>
  </si>
  <si>
    <t>Nombre d'alvéoles en 73 cm</t>
  </si>
  <si>
    <t>Nombre d'alvéoles en 93 cm</t>
  </si>
  <si>
    <t>Nombre de caissons porte en 53 cm</t>
  </si>
  <si>
    <t>Nombre de caissons porte en 73 cm</t>
  </si>
  <si>
    <t>Nombre de caissons porte en 93 cm</t>
  </si>
  <si>
    <t>Prix total en laque</t>
  </si>
  <si>
    <t>Prix en brut  = -28%</t>
  </si>
  <si>
    <t>Configurateur étagères Basile</t>
  </si>
  <si>
    <t>💡 Encodez vos dimensions !</t>
  </si>
  <si>
    <t>Colonne(s)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</si>
  <si>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</si>
  <si>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</si>
  <si>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</si>
  <si>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</si>
  <si>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</si>
  <si>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</si>
  <si>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</si>
  <si>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</si>
  <si>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</si>
  <si>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</si>
  <si>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Largeur de la colonne (cm)</t>
  </si>
  <si>
    <t>Etage(s)</t>
  </si>
  <si>
    <t>Hauteur de l'étage (cm)</t>
  </si>
  <si>
    <t>Nombre de caissons portes de 53cm</t>
  </si>
  <si>
    <t>Nombre de caissons portes de 73cm</t>
  </si>
  <si>
    <t>Schéma de votre étagère Basile</t>
  </si>
  <si>
    <t>Nombre de caissons portes de 93cm</t>
  </si>
  <si>
    <t>Votre prix TVAC</t>
  </si>
  <si>
    <t>BAS</t>
  </si>
  <si>
    <t>BAS POR</t>
  </si>
  <si>
    <t>Hauteur :</t>
  </si>
  <si>
    <t>Largeur :</t>
  </si>
  <si>
    <t>Profondeur :</t>
  </si>
  <si>
    <t>Références article à mentionner</t>
  </si>
  <si>
    <t>Choisissez votre configurateur</t>
  </si>
  <si>
    <t>Choose your configurator</t>
  </si>
  <si>
    <t>Basile shelf configurator</t>
  </si>
  <si>
    <t>💡 Enter your dimensions !</t>
  </si>
  <si>
    <t>Column(s)</t>
  </si>
  <si>
    <t>Column width (cm)</t>
  </si>
  <si>
    <t>Floor height (cm)</t>
  </si>
  <si>
    <t>Floor(s)</t>
  </si>
  <si>
    <t>Number of 53cm door boxes</t>
  </si>
  <si>
    <t>Number of 93cm door boxes</t>
  </si>
  <si>
    <t>Number of 73cm door boxes</t>
  </si>
  <si>
    <t>Your price including VAT</t>
  </si>
  <si>
    <t>Article references to mention</t>
  </si>
  <si>
    <t>Drawing of your Basile shelf</t>
  </si>
  <si>
    <t>Height :</t>
  </si>
  <si>
    <t>Width :</t>
  </si>
  <si>
    <t>Depth :</t>
  </si>
  <si>
    <t>Basile-plankenconfigurator</t>
  </si>
  <si>
    <t>💡 Voer uw afmetingen in !</t>
  </si>
  <si>
    <t>Kolom(men)</t>
  </si>
  <si>
    <t>Kolombreedte (cm)</t>
  </si>
  <si>
    <t>Vloer(en)</t>
  </si>
  <si>
    <t>Vloer hoogte (cm)</t>
  </si>
  <si>
    <t>Aantal deurvakken van 53 cm</t>
  </si>
  <si>
    <t>Aantal deurvakken van 73 cm</t>
  </si>
  <si>
    <t>Aantal deurvakken van 93 cm</t>
  </si>
  <si>
    <t>Uw prijs TVAC</t>
  </si>
  <si>
    <t>Te vermelden artikelverwijzingen</t>
  </si>
  <si>
    <t>Tekening van uw Basile-plank</t>
  </si>
  <si>
    <t>Hoogte :</t>
  </si>
  <si>
    <t>Breedte :</t>
  </si>
  <si>
    <t>Diepte :</t>
  </si>
  <si>
    <t>Kies uw configurator</t>
  </si>
  <si>
    <t>Configurateur armoires Madaket et Madavin</t>
  </si>
  <si>
    <t>Madaket and Madavin wardrobe configurator</t>
  </si>
  <si>
    <t>Madaket en Madavin kastconfigurator</t>
  </si>
  <si>
    <t>Lacquer</t>
  </si>
  <si>
    <t>Varnish</t>
  </si>
  <si>
    <t>Non</t>
  </si>
  <si>
    <t>Lak</t>
  </si>
  <si>
    <t>Vernis</t>
  </si>
  <si>
    <t>Laque</t>
  </si>
  <si>
    <t>(Les pieds ajoutent 15cm à la Hauteur -&gt; exemple 185 + 15 = 200cm ext.)</t>
  </si>
  <si>
    <t>(De voeten voegen 15cm toe aan de hoogte -&gt; bijvoorbeeld 185 + 15 = 200 cm ext.)</t>
  </si>
  <si>
    <t>(The feet add 15cm to the Height -&gt; example 185 + 15 = 200cm ext.)</t>
  </si>
  <si>
    <r>
      <rPr>
        <b/>
        <sz val="24"/>
        <color rgb="FF766652"/>
        <rFont val="Calibri"/>
        <family val="2"/>
        <scheme val="minor"/>
      </rPr>
      <t>Largeur</t>
    </r>
    <r>
      <rPr>
        <sz val="20"/>
        <color rgb="FF766652"/>
        <rFont val="Calibri"/>
        <family val="2"/>
        <scheme val="minor"/>
      </rPr>
      <t xml:space="preserve"> </t>
    </r>
    <r>
      <rPr>
        <sz val="10"/>
        <color rgb="FF766652"/>
        <rFont val="Calibri"/>
        <family val="2"/>
        <scheme val="minor"/>
      </rPr>
      <t xml:space="preserve"> </t>
    </r>
    <r>
      <rPr>
        <sz val="11"/>
        <color rgb="FF766652"/>
        <rFont val="Calibri"/>
        <family val="2"/>
        <scheme val="minor"/>
      </rPr>
      <t>(entre 30 et 240 cm)</t>
    </r>
  </si>
  <si>
    <r>
      <t xml:space="preserve"> Dimension standard </t>
    </r>
    <r>
      <rPr>
        <b/>
        <i/>
        <u/>
        <sz val="11"/>
        <color rgb="FF766652"/>
        <rFont val="Calibri"/>
        <family val="2"/>
        <scheme val="minor"/>
      </rPr>
      <t>1p</t>
    </r>
    <r>
      <rPr>
        <b/>
        <i/>
        <sz val="11"/>
        <color rgb="FF766652"/>
        <rFont val="Calibri"/>
        <family val="2"/>
        <scheme val="minor"/>
      </rPr>
      <t xml:space="preserve">=50 </t>
    </r>
    <r>
      <rPr>
        <b/>
        <i/>
        <u/>
        <sz val="11"/>
        <color rgb="FF766652"/>
        <rFont val="Calibri"/>
        <family val="2"/>
        <scheme val="minor"/>
      </rPr>
      <t>2p</t>
    </r>
    <r>
      <rPr>
        <b/>
        <i/>
        <sz val="11"/>
        <color rgb="FF766652"/>
        <rFont val="Calibri"/>
        <family val="2"/>
        <scheme val="minor"/>
      </rPr>
      <t xml:space="preserve">=96 </t>
    </r>
    <r>
      <rPr>
        <b/>
        <i/>
        <u/>
        <sz val="11"/>
        <color rgb="FF766652"/>
        <rFont val="Calibri"/>
        <family val="2"/>
        <scheme val="minor"/>
      </rPr>
      <t>3p</t>
    </r>
    <r>
      <rPr>
        <b/>
        <i/>
        <sz val="11"/>
        <color rgb="FF766652"/>
        <rFont val="Calibri"/>
        <family val="2"/>
        <scheme val="minor"/>
      </rPr>
      <t xml:space="preserve">=143 </t>
    </r>
    <r>
      <rPr>
        <b/>
        <i/>
        <u/>
        <sz val="11"/>
        <color rgb="FF766652"/>
        <rFont val="Calibri"/>
        <family val="2"/>
        <scheme val="minor"/>
      </rPr>
      <t>4p</t>
    </r>
    <r>
      <rPr>
        <b/>
        <i/>
        <sz val="11"/>
        <color rgb="FF766652"/>
        <rFont val="Calibri"/>
        <family val="2"/>
        <scheme val="minor"/>
      </rPr>
      <t>=189</t>
    </r>
  </si>
  <si>
    <r>
      <rPr>
        <b/>
        <sz val="24"/>
        <color rgb="FF766652"/>
        <rFont val="Calibri"/>
        <family val="2"/>
        <scheme val="minor"/>
      </rPr>
      <t>Profondeur</t>
    </r>
    <r>
      <rPr>
        <sz val="20"/>
        <color rgb="FF766652"/>
        <rFont val="Calibri"/>
        <family val="2"/>
        <scheme val="minor"/>
      </rPr>
      <t xml:space="preserve"> </t>
    </r>
    <r>
      <rPr>
        <sz val="11"/>
        <color rgb="FF766652"/>
        <rFont val="Calibri"/>
        <family val="2"/>
        <scheme val="minor"/>
      </rPr>
      <t>(entre 40 et 60 cm )</t>
    </r>
  </si>
  <si>
    <r>
      <rPr>
        <b/>
        <sz val="24"/>
        <color rgb="FF766652"/>
        <rFont val="Calibri"/>
        <family val="2"/>
        <scheme val="minor"/>
      </rPr>
      <t>Hauteur</t>
    </r>
    <r>
      <rPr>
        <b/>
        <sz val="11"/>
        <color rgb="FF766652"/>
        <rFont val="Calibri"/>
        <family val="2"/>
        <scheme val="minor"/>
      </rPr>
      <t xml:space="preserve"> </t>
    </r>
    <r>
      <rPr>
        <sz val="11"/>
        <color rgb="FF766652"/>
        <rFont val="Calibri"/>
        <family val="2"/>
        <scheme val="minor"/>
      </rPr>
      <t xml:space="preserve">(entre 120 et 240 cm) </t>
    </r>
  </si>
  <si>
    <r>
      <rPr>
        <b/>
        <sz val="24"/>
        <color rgb="FF766652"/>
        <rFont val="Calibri"/>
        <family val="2"/>
        <scheme val="minor"/>
      </rPr>
      <t>Nombre de tablettes</t>
    </r>
    <r>
      <rPr>
        <sz val="24"/>
        <color rgb="FF766652"/>
        <rFont val="Calibri"/>
        <family val="2"/>
        <scheme val="minor"/>
      </rPr>
      <t xml:space="preserve"> </t>
    </r>
    <r>
      <rPr>
        <sz val="11"/>
        <color rgb="FF766652"/>
        <rFont val="Calibri"/>
        <family val="2"/>
        <scheme val="minor"/>
      </rPr>
      <t>(entre 0 et 16)</t>
    </r>
  </si>
  <si>
    <r>
      <rPr>
        <b/>
        <sz val="24"/>
        <color rgb="FF766652"/>
        <rFont val="Calibri"/>
        <family val="2"/>
        <scheme val="minor"/>
      </rPr>
      <t>Nombre de penderies</t>
    </r>
    <r>
      <rPr>
        <sz val="24"/>
        <color rgb="FF766652"/>
        <rFont val="Calibri"/>
        <family val="2"/>
        <scheme val="minor"/>
      </rPr>
      <t xml:space="preserve"> </t>
    </r>
  </si>
  <si>
    <r>
      <rPr>
        <b/>
        <sz val="24"/>
        <color rgb="FF766652"/>
        <rFont val="Calibri"/>
        <family val="2"/>
        <scheme val="minor"/>
      </rPr>
      <t>Width</t>
    </r>
    <r>
      <rPr>
        <sz val="20"/>
        <color rgb="FF766652"/>
        <rFont val="Calibri"/>
        <family val="2"/>
        <scheme val="minor"/>
      </rPr>
      <t xml:space="preserve"> </t>
    </r>
    <r>
      <rPr>
        <sz val="10"/>
        <color rgb="FF766652"/>
        <rFont val="Calibri"/>
        <family val="2"/>
        <scheme val="minor"/>
      </rPr>
      <t xml:space="preserve"> </t>
    </r>
    <r>
      <rPr>
        <sz val="11"/>
        <color rgb="FF766652"/>
        <rFont val="Calibri"/>
        <family val="2"/>
        <scheme val="minor"/>
      </rPr>
      <t>(between 30 and 240 cm)</t>
    </r>
  </si>
  <si>
    <r>
      <t xml:space="preserve">Standard size </t>
    </r>
    <r>
      <rPr>
        <b/>
        <i/>
        <u/>
        <sz val="11"/>
        <color rgb="FF766652"/>
        <rFont val="Calibri"/>
        <family val="2"/>
        <scheme val="minor"/>
      </rPr>
      <t>1d</t>
    </r>
    <r>
      <rPr>
        <b/>
        <i/>
        <sz val="11"/>
        <color rgb="FF766652"/>
        <rFont val="Calibri"/>
        <family val="2"/>
        <scheme val="minor"/>
      </rPr>
      <t xml:space="preserve">=50 </t>
    </r>
    <r>
      <rPr>
        <b/>
        <i/>
        <u/>
        <sz val="11"/>
        <color rgb="FF766652"/>
        <rFont val="Calibri"/>
        <family val="2"/>
        <scheme val="minor"/>
      </rPr>
      <t>2d</t>
    </r>
    <r>
      <rPr>
        <b/>
        <i/>
        <sz val="11"/>
        <color rgb="FF766652"/>
        <rFont val="Calibri"/>
        <family val="2"/>
        <scheme val="minor"/>
      </rPr>
      <t xml:space="preserve">=96 </t>
    </r>
    <r>
      <rPr>
        <b/>
        <i/>
        <u/>
        <sz val="11"/>
        <color rgb="FF766652"/>
        <rFont val="Calibri"/>
        <family val="2"/>
        <scheme val="minor"/>
      </rPr>
      <t>3d</t>
    </r>
    <r>
      <rPr>
        <b/>
        <i/>
        <sz val="11"/>
        <color rgb="FF766652"/>
        <rFont val="Calibri"/>
        <family val="2"/>
        <scheme val="minor"/>
      </rPr>
      <t xml:space="preserve">=143 </t>
    </r>
    <r>
      <rPr>
        <b/>
        <i/>
        <u/>
        <sz val="11"/>
        <color rgb="FF766652"/>
        <rFont val="Calibri"/>
        <family val="2"/>
        <scheme val="minor"/>
      </rPr>
      <t>4d</t>
    </r>
    <r>
      <rPr>
        <b/>
        <i/>
        <sz val="11"/>
        <color rgb="FF766652"/>
        <rFont val="Calibri"/>
        <family val="2"/>
        <scheme val="minor"/>
      </rPr>
      <t>=189</t>
    </r>
  </si>
  <si>
    <r>
      <rPr>
        <b/>
        <sz val="24"/>
        <color rgb="FF766652"/>
        <rFont val="Calibri"/>
        <family val="2"/>
        <scheme val="minor"/>
      </rPr>
      <t>Depth</t>
    </r>
    <r>
      <rPr>
        <sz val="20"/>
        <color rgb="FF766652"/>
        <rFont val="Calibri"/>
        <family val="2"/>
        <scheme val="minor"/>
      </rPr>
      <t xml:space="preserve"> </t>
    </r>
    <r>
      <rPr>
        <sz val="11"/>
        <color rgb="FF766652"/>
        <rFont val="Calibri"/>
        <family val="2"/>
        <scheme val="minor"/>
      </rPr>
      <t>(between 40 and 60 cm )</t>
    </r>
  </si>
  <si>
    <r>
      <rPr>
        <b/>
        <sz val="24"/>
        <color rgb="FF766652"/>
        <rFont val="Calibri"/>
        <family val="2"/>
        <scheme val="minor"/>
      </rPr>
      <t>Height</t>
    </r>
    <r>
      <rPr>
        <b/>
        <sz val="11"/>
        <color rgb="FF766652"/>
        <rFont val="Calibri"/>
        <family val="2"/>
        <scheme val="minor"/>
      </rPr>
      <t xml:space="preserve"> </t>
    </r>
    <r>
      <rPr>
        <sz val="11"/>
        <color rgb="FF766652"/>
        <rFont val="Calibri"/>
        <family val="2"/>
        <scheme val="minor"/>
      </rPr>
      <t xml:space="preserve">(between 120 and 240 cm) </t>
    </r>
  </si>
  <si>
    <r>
      <rPr>
        <b/>
        <sz val="24"/>
        <color rgb="FF766652"/>
        <rFont val="Calibri"/>
        <family val="2"/>
        <scheme val="minor"/>
      </rPr>
      <t xml:space="preserve">Number of tablets </t>
    </r>
    <r>
      <rPr>
        <sz val="11"/>
        <color rgb="FF766652"/>
        <rFont val="Calibri"/>
        <family val="2"/>
        <scheme val="minor"/>
      </rPr>
      <t>(between 0 and 16)</t>
    </r>
  </si>
  <si>
    <r>
      <rPr>
        <b/>
        <sz val="24"/>
        <color rgb="FF766652"/>
        <rFont val="Calibri"/>
        <family val="2"/>
        <scheme val="minor"/>
      </rPr>
      <t>Number of bars</t>
    </r>
    <r>
      <rPr>
        <sz val="24"/>
        <color rgb="FF766652"/>
        <rFont val="Calibri"/>
        <family val="2"/>
        <scheme val="minor"/>
      </rPr>
      <t xml:space="preserve"> </t>
    </r>
  </si>
  <si>
    <r>
      <rPr>
        <b/>
        <sz val="24"/>
        <color rgb="FF766652"/>
        <rFont val="Calibri"/>
        <family val="2"/>
        <scheme val="minor"/>
      </rPr>
      <t>Breedte</t>
    </r>
    <r>
      <rPr>
        <sz val="20"/>
        <color rgb="FF766652"/>
        <rFont val="Calibri"/>
        <family val="2"/>
        <scheme val="minor"/>
      </rPr>
      <t xml:space="preserve"> </t>
    </r>
    <r>
      <rPr>
        <sz val="10"/>
        <color rgb="FF766652"/>
        <rFont val="Calibri"/>
        <family val="2"/>
        <scheme val="minor"/>
      </rPr>
      <t xml:space="preserve"> </t>
    </r>
    <r>
      <rPr>
        <sz val="11"/>
        <color rgb="FF766652"/>
        <rFont val="Calibri"/>
        <family val="2"/>
        <scheme val="minor"/>
      </rPr>
      <t>(tussen 30 en 240 cm)</t>
    </r>
  </si>
  <si>
    <r>
      <t xml:space="preserve">Standaard maat </t>
    </r>
    <r>
      <rPr>
        <b/>
        <i/>
        <u/>
        <sz val="11"/>
        <color rgb="FF766652"/>
        <rFont val="Calibri"/>
        <family val="2"/>
        <scheme val="minor"/>
      </rPr>
      <t>1d</t>
    </r>
    <r>
      <rPr>
        <b/>
        <i/>
        <sz val="11"/>
        <color rgb="FF766652"/>
        <rFont val="Calibri"/>
        <family val="2"/>
        <scheme val="minor"/>
      </rPr>
      <t xml:space="preserve">=50 </t>
    </r>
    <r>
      <rPr>
        <b/>
        <i/>
        <u/>
        <sz val="11"/>
        <color rgb="FF766652"/>
        <rFont val="Calibri"/>
        <family val="2"/>
        <scheme val="minor"/>
      </rPr>
      <t>2d</t>
    </r>
    <r>
      <rPr>
        <b/>
        <i/>
        <sz val="11"/>
        <color rgb="FF766652"/>
        <rFont val="Calibri"/>
        <family val="2"/>
        <scheme val="minor"/>
      </rPr>
      <t xml:space="preserve">=96 </t>
    </r>
    <r>
      <rPr>
        <b/>
        <i/>
        <u/>
        <sz val="11"/>
        <color rgb="FF766652"/>
        <rFont val="Calibri"/>
        <family val="2"/>
        <scheme val="minor"/>
      </rPr>
      <t>3d</t>
    </r>
    <r>
      <rPr>
        <b/>
        <i/>
        <sz val="11"/>
        <color rgb="FF766652"/>
        <rFont val="Calibri"/>
        <family val="2"/>
        <scheme val="minor"/>
      </rPr>
      <t xml:space="preserve">=143 </t>
    </r>
    <r>
      <rPr>
        <b/>
        <i/>
        <u/>
        <sz val="11"/>
        <color rgb="FF766652"/>
        <rFont val="Calibri"/>
        <family val="2"/>
        <scheme val="minor"/>
      </rPr>
      <t>4d</t>
    </r>
    <r>
      <rPr>
        <b/>
        <i/>
        <sz val="11"/>
        <color rgb="FF766652"/>
        <rFont val="Calibri"/>
        <family val="2"/>
        <scheme val="minor"/>
      </rPr>
      <t>=189</t>
    </r>
  </si>
  <si>
    <r>
      <rPr>
        <b/>
        <sz val="24"/>
        <color rgb="FF766652"/>
        <rFont val="Calibri"/>
        <family val="2"/>
        <scheme val="minor"/>
      </rPr>
      <t>Diepte</t>
    </r>
    <r>
      <rPr>
        <sz val="20"/>
        <color rgb="FF766652"/>
        <rFont val="Calibri"/>
        <family val="2"/>
        <scheme val="minor"/>
      </rPr>
      <t xml:space="preserve"> </t>
    </r>
    <r>
      <rPr>
        <sz val="11"/>
        <color rgb="FF766652"/>
        <rFont val="Calibri"/>
        <family val="2"/>
        <scheme val="minor"/>
      </rPr>
      <t>(tussen 40 en60 cm )</t>
    </r>
  </si>
  <si>
    <r>
      <rPr>
        <b/>
        <sz val="24"/>
        <color rgb="FF766652"/>
        <rFont val="Calibri"/>
        <family val="2"/>
        <scheme val="minor"/>
      </rPr>
      <t>Hoogte</t>
    </r>
    <r>
      <rPr>
        <sz val="11"/>
        <color rgb="FF766652"/>
        <rFont val="Calibri"/>
        <family val="2"/>
        <scheme val="minor"/>
      </rPr>
      <t xml:space="preserve">(tussen 120 en 240 cm) </t>
    </r>
  </si>
  <si>
    <r>
      <rPr>
        <b/>
        <sz val="24"/>
        <color rgb="FF766652"/>
        <rFont val="Calibri"/>
        <family val="2"/>
        <scheme val="minor"/>
      </rPr>
      <t xml:space="preserve">Aantal tabletten </t>
    </r>
    <r>
      <rPr>
        <sz val="11"/>
        <color rgb="FF766652"/>
        <rFont val="Calibri"/>
        <family val="2"/>
        <scheme val="minor"/>
      </rPr>
      <t>(tussen 0 en 16)</t>
    </r>
  </si>
  <si>
    <r>
      <rPr>
        <b/>
        <sz val="24"/>
        <color rgb="FF766652"/>
        <rFont val="Calibri"/>
        <family val="2"/>
        <scheme val="minor"/>
      </rPr>
      <t>Aantal hang baar</t>
    </r>
    <r>
      <rPr>
        <sz val="24"/>
        <color rgb="FF766652"/>
        <rFont val="Calibri"/>
        <family val="2"/>
        <scheme val="minor"/>
      </rPr>
      <t xml:space="preserve"> </t>
    </r>
  </si>
  <si>
    <t>Hauteur (cm)</t>
  </si>
  <si>
    <t>Height (cm)</t>
  </si>
  <si>
    <t>Français</t>
  </si>
  <si>
    <t>Anglais</t>
  </si>
  <si>
    <t>NDLS</t>
  </si>
  <si>
    <t>Hoogte (cm)</t>
  </si>
  <si>
    <t>Caisson 1 tiroir + 1 tablette</t>
  </si>
  <si>
    <t>Caisson 1 tiroir</t>
  </si>
  <si>
    <t>Porte caisson</t>
  </si>
  <si>
    <t>Pied joue</t>
  </si>
  <si>
    <t>Configurateur bureau Madaket et Madavin</t>
  </si>
  <si>
    <t>Longueur tablette droite</t>
  </si>
  <si>
    <t>Longueur tablette coin</t>
  </si>
  <si>
    <t>Type de tablette</t>
  </si>
  <si>
    <t>Tablette droite</t>
  </si>
  <si>
    <t>- Choisir -</t>
  </si>
  <si>
    <t>Tablette en coin 90°</t>
  </si>
  <si>
    <t>Support</t>
  </si>
  <si>
    <t>Caisson un tiroir + une tablette</t>
  </si>
  <si>
    <t>Caisson un tiroir</t>
  </si>
  <si>
    <t>Nombre de supports</t>
  </si>
  <si>
    <t>Calcul prix</t>
  </si>
  <si>
    <t>Tablettes</t>
  </si>
  <si>
    <t>TOTAL</t>
  </si>
  <si>
    <t>FR</t>
  </si>
  <si>
    <t>EN</t>
  </si>
  <si>
    <t>ND</t>
  </si>
  <si>
    <t>Prix TVAC</t>
  </si>
  <si>
    <t>- Pas de retour -</t>
  </si>
  <si>
    <t>Pour prix dim standard</t>
  </si>
  <si>
    <t>PS: Cellule cachée sur feuille Calcu Mad FR en E7</t>
  </si>
  <si>
    <r>
      <t xml:space="preserve">Longueur retour </t>
    </r>
    <r>
      <rPr>
        <sz val="8"/>
        <color theme="1"/>
        <rFont val="Verdana"/>
        <family val="2"/>
      </rPr>
      <t>(si tablette en coin)</t>
    </r>
  </si>
  <si>
    <r>
      <t xml:space="preserve">Longueur </t>
    </r>
    <r>
      <rPr>
        <sz val="8"/>
        <color theme="1"/>
        <rFont val="Verdana"/>
        <family val="2"/>
      </rPr>
      <t>(60 à 240cm)</t>
    </r>
  </si>
  <si>
    <t>(60 à 120cm depuis le coin extérieur)</t>
  </si>
  <si>
    <t>Coté retour</t>
  </si>
  <si>
    <t>Droite</t>
  </si>
  <si>
    <t>Gauche</t>
  </si>
  <si>
    <t>Madaket and Madavin desk configurator</t>
  </si>
  <si>
    <t>Price TVAC</t>
  </si>
  <si>
    <t>Tablet type</t>
  </si>
  <si>
    <t>(60 to 120cm from the outside corner)</t>
  </si>
  <si>
    <r>
      <t xml:space="preserve">Return length </t>
    </r>
    <r>
      <rPr>
        <sz val="8"/>
        <color theme="1"/>
        <rFont val="Verdana"/>
        <family val="2"/>
      </rPr>
      <t>(if corner tablet)</t>
    </r>
  </si>
  <si>
    <r>
      <t xml:space="preserve">Length </t>
    </r>
    <r>
      <rPr>
        <sz val="8"/>
        <color theme="1"/>
        <rFont val="Verdana"/>
        <family val="2"/>
      </rPr>
      <t>(60 to 240cm)</t>
    </r>
  </si>
  <si>
    <t>Coté du retour</t>
  </si>
  <si>
    <t>Return side</t>
  </si>
  <si>
    <t>Box door</t>
  </si>
  <si>
    <t>Column one drawer + one shelf</t>
  </si>
  <si>
    <t>Column one drawer</t>
  </si>
  <si>
    <t>Side panel with shelves</t>
  </si>
  <si>
    <t>- Choose -</t>
  </si>
  <si>
    <t>Straight tablet</t>
  </si>
  <si>
    <t>Corner tablet 90°</t>
  </si>
  <si>
    <t>- Without return -</t>
  </si>
  <si>
    <t>Right</t>
  </si>
  <si>
    <t>Left</t>
  </si>
  <si>
    <t>Largeur tablette coin FR</t>
  </si>
  <si>
    <t>Largeur tablette coin EN</t>
  </si>
  <si>
    <t>Largeur tablette coin ND</t>
  </si>
  <si>
    <t>Madaket en Madavin bureauconfigurator</t>
  </si>
  <si>
    <t>Tablettype</t>
  </si>
  <si>
    <t>(60 tot 120 cm vanaf de buitenhoek)</t>
  </si>
  <si>
    <r>
      <t xml:space="preserve">Lengte </t>
    </r>
    <r>
      <rPr>
        <sz val="8"/>
        <color theme="1"/>
        <rFont val="Verdana"/>
        <family val="2"/>
      </rPr>
      <t>(60 tot 240 cm)</t>
    </r>
  </si>
  <si>
    <r>
      <t xml:space="preserve">Retourlengte </t>
    </r>
    <r>
      <rPr>
        <sz val="8"/>
        <color theme="1"/>
        <rFont val="Verdana"/>
        <family val="2"/>
      </rPr>
      <t>(indien hoekplank)</t>
    </r>
  </si>
  <si>
    <t>Terugkeerzijde</t>
  </si>
  <si>
    <t>Bureelblok 1 schuif + 1 legplank</t>
  </si>
  <si>
    <t>bureelblok 1 schuif</t>
  </si>
  <si>
    <t>Deur voor bureelblok</t>
  </si>
  <si>
    <t>Zijpaneel</t>
  </si>
  <si>
    <t>- Kiezen -</t>
  </si>
  <si>
    <t>Rechte bureeltablet</t>
  </si>
  <si>
    <t>HOEK BUREELTABLET</t>
  </si>
  <si>
    <t>Hoek bureeltablet 90°</t>
  </si>
  <si>
    <t>- Geen terug -</t>
  </si>
  <si>
    <t>Rechts</t>
  </si>
  <si>
    <t>Links</t>
  </si>
  <si>
    <t>PS: Cellule cachée sur feuille Calcu Bur FR en colonne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</si>
</sst>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\ &quot;€&quot;"/>
    <numFmt numFmtId="165" formatCode="_-* #,##0\ &quot;€&quot;_-;\-* #,##0\ &quot;€&quot;_-;_-* &quot;-&quot;??\ &quot;€&quot;_-;_-@_-"/>
    <numFmt numFmtId="166" formatCode=";;;"/>
  </numFmts>
  <fonts count="5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Verdana"/>
      <family val="2"/>
    </font>
    <font>
      <sz val="11"/>
      <color theme="1"/>
      <name val="Verdana"/>
      <family val="2"/>
    </font>
    <font>
      <sz val="20"/>
      <color theme="0"/>
      <name val="Verdana"/>
      <family val="2"/>
    </font>
    <font>
      <sz val="8"/>
      <color theme="0"/>
      <name val="Verdana"/>
      <family val="2"/>
    </font>
    <font>
      <b/>
      <u/>
      <sz val="14"/>
      <color theme="1"/>
      <name val="Verdana"/>
      <family val="2"/>
    </font>
    <font>
      <b/>
      <sz val="8"/>
      <color rgb="FF0070C0"/>
      <name val="Verdana"/>
      <family val="2"/>
    </font>
    <font>
      <b/>
      <sz val="8"/>
      <color theme="5"/>
      <name val="Verdana"/>
      <family val="2"/>
    </font>
    <font>
      <b/>
      <sz val="8"/>
      <color theme="8"/>
      <name val="Verdana"/>
      <family val="2"/>
    </font>
    <font>
      <b/>
      <sz val="16"/>
      <color theme="1"/>
      <name val="Calibri"/>
      <family val="2"/>
      <scheme val="minor"/>
    </font>
    <font>
      <sz val="11"/>
      <color rgb="FF000000"/>
      <name val="Verdana"/>
      <family val="2"/>
    </font>
    <font>
      <sz val="11"/>
      <color rgb="FF968168"/>
      <name val="Verdana"/>
      <family val="2"/>
    </font>
    <font>
      <sz val="11"/>
      <color rgb="FF766652"/>
      <name val="Verdana"/>
      <family val="2"/>
    </font>
    <font>
      <sz val="14"/>
      <color rgb="FF766652"/>
      <name val="Verdana"/>
      <family val="2"/>
    </font>
    <font>
      <b/>
      <sz val="24"/>
      <color rgb="FF766652"/>
      <name val="Verdana"/>
      <family val="2"/>
    </font>
    <font>
      <b/>
      <sz val="11"/>
      <color rgb="FF766652"/>
      <name val="Verdana"/>
      <family val="2"/>
    </font>
    <font>
      <b/>
      <sz val="16"/>
      <color rgb="FF766652"/>
      <name val="Verdana"/>
      <family val="2"/>
    </font>
    <font>
      <b/>
      <sz val="16"/>
      <color rgb="FF766652"/>
      <name val="Calibri"/>
      <family val="2"/>
      <scheme val="minor"/>
    </font>
    <font>
      <sz val="20"/>
      <color rgb="FF766652"/>
      <name val="Calibri"/>
      <family val="2"/>
      <scheme val="minor"/>
    </font>
    <font>
      <b/>
      <sz val="24"/>
      <color rgb="FF766652"/>
      <name val="Calibri"/>
      <family val="2"/>
      <scheme val="minor"/>
    </font>
    <font>
      <sz val="10"/>
      <color rgb="FF766652"/>
      <name val="Calibri"/>
      <family val="2"/>
      <scheme val="minor"/>
    </font>
    <font>
      <sz val="11"/>
      <color rgb="FF766652"/>
      <name val="Calibri"/>
      <family val="2"/>
      <scheme val="minor"/>
    </font>
    <font>
      <b/>
      <i/>
      <sz val="11"/>
      <color rgb="FF766652"/>
      <name val="Calibri"/>
      <family val="2"/>
      <scheme val="minor"/>
    </font>
    <font>
      <b/>
      <i/>
      <u/>
      <sz val="11"/>
      <color rgb="FF766652"/>
      <name val="Calibri"/>
      <family val="2"/>
      <scheme val="minor"/>
    </font>
    <font>
      <b/>
      <sz val="11"/>
      <color rgb="FF766652"/>
      <name val="Calibri"/>
      <family val="2"/>
      <scheme val="minor"/>
    </font>
    <font>
      <sz val="24"/>
      <color rgb="FF766652"/>
      <name val="Calibri"/>
      <family val="2"/>
      <scheme val="minor"/>
    </font>
    <font>
      <sz val="30"/>
      <color rgb="FF766652"/>
      <name val="Calibri"/>
      <family val="2"/>
      <scheme val="minor"/>
    </font>
    <font>
      <u/>
      <sz val="11"/>
      <color rgb="FF766652"/>
      <name val="Calibri"/>
      <family val="2"/>
      <scheme val="minor"/>
    </font>
    <font>
      <i/>
      <sz val="11"/>
      <color rgb="FF766652"/>
      <name val="Calibri"/>
      <family val="2"/>
      <scheme val="minor"/>
    </font>
    <font>
      <sz val="14"/>
      <color rgb="FF766652"/>
      <name val="Calibri"/>
      <family val="2"/>
      <scheme val="minor"/>
    </font>
    <font>
      <sz val="10"/>
      <color theme="1"/>
      <name val="Verdana"/>
      <family val="2"/>
    </font>
    <font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20"/>
      <color rgb="FF766652"/>
      <name val="Verdana"/>
      <family val="2"/>
    </font>
    <font>
      <sz val="5"/>
      <color rgb="FF1A1918"/>
      <name val="Segoe UI"/>
      <family val="2"/>
    </font>
    <font>
      <sz val="11"/>
      <color theme="0" tint="-0.1499984740745262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0" borderId="3" xfId="0" applyBorder="1"/>
    <xf numFmtId="0" fontId="0" fillId="2" borderId="4" xfId="0" applyFill="1" applyBorder="1" applyAlignment="1">
      <alignment horizontal="center"/>
    </xf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right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3" xfId="0" applyBorder="1"/>
    <xf numFmtId="0" fontId="0" fillId="0" borderId="1" xfId="0" applyBorder="1" applyAlignment="1">
      <alignment horizontal="right"/>
    </xf>
    <xf numFmtId="0" fontId="0" fillId="2" borderId="14" xfId="0" applyFill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2" borderId="15" xfId="0" applyFill="1" applyBorder="1" applyAlignment="1">
      <alignment horizontal="center"/>
    </xf>
    <xf numFmtId="0" fontId="1" fillId="3" borderId="0" xfId="0" applyFont="1" applyFill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4" borderId="0" xfId="0" applyFill="1"/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164" fontId="4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15" fillId="0" borderId="34" xfId="0" applyFont="1" applyBorder="1"/>
    <xf numFmtId="0" fontId="15" fillId="0" borderId="35" xfId="0" applyFont="1" applyBorder="1"/>
    <xf numFmtId="166" fontId="17" fillId="0" borderId="0" xfId="1" applyNumberFormat="1" applyFont="1" applyBorder="1" applyAlignment="1" applyProtection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 applyProtection="1">
      <alignment horizontal="center" vertical="center"/>
      <protection locked="0"/>
    </xf>
    <xf numFmtId="0" fontId="19" fillId="0" borderId="34" xfId="0" applyFont="1" applyBorder="1" applyAlignment="1">
      <alignment horizontal="center" vertical="center"/>
    </xf>
    <xf numFmtId="0" fontId="15" fillId="0" borderId="0" xfId="0" applyFont="1"/>
    <xf numFmtId="0" fontId="20" fillId="0" borderId="0" xfId="0" applyFont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15" fillId="4" borderId="0" xfId="0" applyFont="1" applyFill="1"/>
    <xf numFmtId="0" fontId="15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/>
    </xf>
    <xf numFmtId="0" fontId="15" fillId="4" borderId="30" xfId="0" applyFont="1" applyFill="1" applyBorder="1" applyAlignment="1">
      <alignment horizontal="left" vertical="center"/>
    </xf>
    <xf numFmtId="0" fontId="15" fillId="4" borderId="38" xfId="0" applyFont="1" applyFill="1" applyBorder="1" applyAlignment="1">
      <alignment horizontal="center" vertical="center"/>
    </xf>
    <xf numFmtId="0" fontId="15" fillId="4" borderId="40" xfId="0" applyFont="1" applyFill="1" applyBorder="1" applyAlignment="1">
      <alignment horizontal="left" vertical="center"/>
    </xf>
    <xf numFmtId="0" fontId="15" fillId="4" borderId="38" xfId="0" applyFont="1" applyFill="1" applyBorder="1" applyAlignment="1">
      <alignment vertical="center"/>
    </xf>
    <xf numFmtId="0" fontId="15" fillId="4" borderId="29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22" fillId="4" borderId="0" xfId="0" applyFont="1" applyFill="1"/>
    <xf numFmtId="164" fontId="8" fillId="4" borderId="24" xfId="0" applyNumberFormat="1" applyFont="1" applyFill="1" applyBorder="1" applyAlignment="1">
      <alignment horizontal="center"/>
    </xf>
    <xf numFmtId="0" fontId="14" fillId="4" borderId="0" xfId="0" applyFont="1" applyFill="1"/>
    <xf numFmtId="0" fontId="14" fillId="4" borderId="0" xfId="0" applyFont="1" applyFill="1" applyAlignment="1">
      <alignment horizontal="left"/>
    </xf>
    <xf numFmtId="0" fontId="4" fillId="5" borderId="12" xfId="0" applyFont="1" applyFill="1" applyBorder="1" applyAlignment="1" applyProtection="1">
      <alignment horizontal="center"/>
      <protection locked="0"/>
    </xf>
    <xf numFmtId="0" fontId="5" fillId="4" borderId="0" xfId="0" applyFont="1" applyFill="1"/>
    <xf numFmtId="0" fontId="0" fillId="4" borderId="30" xfId="0" applyFill="1" applyBorder="1" applyAlignment="1">
      <alignment horizontal="left" vertical="center"/>
    </xf>
    <xf numFmtId="0" fontId="0" fillId="4" borderId="38" xfId="0" applyFill="1" applyBorder="1" applyAlignment="1">
      <alignment horizontal="center" vertical="center"/>
    </xf>
    <xf numFmtId="0" fontId="0" fillId="4" borderId="40" xfId="0" applyFill="1" applyBorder="1" applyAlignment="1">
      <alignment horizontal="left" vertical="center"/>
    </xf>
    <xf numFmtId="0" fontId="0" fillId="4" borderId="38" xfId="0" applyFill="1" applyBorder="1" applyAlignment="1">
      <alignment vertical="center"/>
    </xf>
    <xf numFmtId="0" fontId="0" fillId="4" borderId="29" xfId="0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24" fillId="4" borderId="0" xfId="0" applyFont="1" applyFill="1"/>
    <xf numFmtId="0" fontId="25" fillId="4" borderId="0" xfId="0" applyFont="1" applyFill="1"/>
    <xf numFmtId="0" fontId="26" fillId="4" borderId="0" xfId="0" quotePrefix="1" applyFont="1" applyFill="1"/>
    <xf numFmtId="0" fontId="27" fillId="4" borderId="0" xfId="0" applyFont="1" applyFill="1"/>
    <xf numFmtId="0" fontId="29" fillId="4" borderId="0" xfId="0" applyFont="1" applyFill="1" applyAlignment="1">
      <alignment vertical="center"/>
    </xf>
    <xf numFmtId="0" fontId="30" fillId="4" borderId="0" xfId="0" applyFont="1" applyFill="1"/>
    <xf numFmtId="0" fontId="31" fillId="4" borderId="0" xfId="0" applyFont="1" applyFill="1" applyAlignment="1">
      <alignment horizontal="right"/>
    </xf>
    <xf numFmtId="0" fontId="35" fillId="4" borderId="0" xfId="0" applyFont="1" applyFill="1" applyAlignment="1">
      <alignment horizontal="right"/>
    </xf>
    <xf numFmtId="0" fontId="34" fillId="4" borderId="0" xfId="0" applyFont="1" applyFill="1"/>
    <xf numFmtId="0" fontId="34" fillId="4" borderId="0" xfId="0" applyFont="1" applyFill="1" applyAlignment="1">
      <alignment horizontal="right"/>
    </xf>
    <xf numFmtId="0" fontId="32" fillId="4" borderId="0" xfId="0" applyFont="1" applyFill="1" applyAlignment="1">
      <alignment horizontal="right"/>
    </xf>
    <xf numFmtId="0" fontId="34" fillId="4" borderId="0" xfId="0" applyFont="1" applyFill="1" applyAlignment="1">
      <alignment horizontal="right" vertical="top"/>
    </xf>
    <xf numFmtId="0" fontId="38" fillId="4" borderId="0" xfId="0" applyFont="1" applyFill="1" applyAlignment="1">
      <alignment horizontal="right"/>
    </xf>
    <xf numFmtId="0" fontId="40" fillId="4" borderId="0" xfId="0" applyFont="1" applyFill="1" applyAlignment="1">
      <alignment horizontal="center"/>
    </xf>
    <xf numFmtId="0" fontId="41" fillId="4" borderId="0" xfId="0" applyFont="1" applyFill="1" applyAlignment="1">
      <alignment horizontal="center"/>
    </xf>
    <xf numFmtId="0" fontId="42" fillId="4" borderId="0" xfId="0" applyFont="1" applyFill="1" applyAlignment="1">
      <alignment horizontal="center"/>
    </xf>
    <xf numFmtId="0" fontId="34" fillId="4" borderId="0" xfId="0" applyFont="1" applyFill="1" applyAlignment="1">
      <alignment horizontal="center"/>
    </xf>
    <xf numFmtId="0" fontId="29" fillId="4" borderId="0" xfId="0" applyFont="1" applyFill="1"/>
    <xf numFmtId="0" fontId="27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2" fontId="15" fillId="4" borderId="0" xfId="0" applyNumberFormat="1" applyFont="1" applyFill="1" applyAlignment="1">
      <alignment horizontal="left" vertical="center"/>
    </xf>
    <xf numFmtId="2" fontId="15" fillId="4" borderId="0" xfId="0" applyNumberFormat="1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25" fillId="4" borderId="0" xfId="0" applyFont="1" applyFill="1" applyAlignment="1">
      <alignment horizontal="center" vertical="center" wrapText="1"/>
    </xf>
    <xf numFmtId="0" fontId="15" fillId="4" borderId="0" xfId="0" quotePrefix="1" applyFont="1" applyFill="1"/>
    <xf numFmtId="0" fontId="25" fillId="4" borderId="0" xfId="0" applyFont="1" applyFill="1" applyAlignment="1">
      <alignment horizontal="right"/>
    </xf>
    <xf numFmtId="165" fontId="11" fillId="0" borderId="0" xfId="2" applyNumberFormat="1" applyFont="1" applyFill="1" applyBorder="1" applyAlignment="1" applyProtection="1">
      <alignment horizontal="center"/>
    </xf>
    <xf numFmtId="165" fontId="7" fillId="0" borderId="0" xfId="0" applyNumberFormat="1" applyFont="1"/>
    <xf numFmtId="0" fontId="0" fillId="0" borderId="34" xfId="0" applyBorder="1"/>
    <xf numFmtId="0" fontId="0" fillId="0" borderId="35" xfId="0" applyBorder="1"/>
    <xf numFmtId="0" fontId="7" fillId="0" borderId="34" xfId="0" applyFont="1" applyBorder="1"/>
    <xf numFmtId="165" fontId="7" fillId="0" borderId="35" xfId="0" applyNumberFormat="1" applyFont="1" applyBorder="1"/>
    <xf numFmtId="165" fontId="11" fillId="0" borderId="35" xfId="2" applyNumberFormat="1" applyFont="1" applyFill="1" applyBorder="1" applyAlignment="1" applyProtection="1">
      <alignment horizontal="center"/>
    </xf>
    <xf numFmtId="0" fontId="10" fillId="0" borderId="7" xfId="0" applyFont="1" applyBorder="1" applyAlignment="1">
      <alignment horizontal="center"/>
    </xf>
    <xf numFmtId="0" fontId="2" fillId="0" borderId="16" xfId="0" applyFont="1" applyBorder="1"/>
    <xf numFmtId="0" fontId="7" fillId="0" borderId="16" xfId="0" applyFont="1" applyBorder="1"/>
    <xf numFmtId="165" fontId="11" fillId="0" borderId="20" xfId="2" applyNumberFormat="1" applyFont="1" applyFill="1" applyBorder="1" applyAlignment="1" applyProtection="1">
      <alignment horizontal="center"/>
    </xf>
    <xf numFmtId="165" fontId="7" fillId="0" borderId="17" xfId="0" applyNumberFormat="1" applyFont="1" applyBorder="1"/>
    <xf numFmtId="0" fontId="2" fillId="0" borderId="18" xfId="0" applyFont="1" applyBorder="1"/>
    <xf numFmtId="0" fontId="7" fillId="0" borderId="18" xfId="0" applyFont="1" applyBorder="1"/>
    <xf numFmtId="165" fontId="11" fillId="0" borderId="21" xfId="2" applyNumberFormat="1" applyFont="1" applyFill="1" applyBorder="1" applyAlignment="1" applyProtection="1">
      <alignment horizontal="center"/>
    </xf>
    <xf numFmtId="165" fontId="7" fillId="0" borderId="19" xfId="0" applyNumberFormat="1" applyFont="1" applyBorder="1"/>
    <xf numFmtId="0" fontId="2" fillId="0" borderId="34" xfId="0" applyFont="1" applyBorder="1"/>
    <xf numFmtId="44" fontId="12" fillId="0" borderId="26" xfId="2" applyFont="1" applyFill="1" applyBorder="1" applyAlignment="1" applyProtection="1">
      <alignment horizontal="center"/>
    </xf>
    <xf numFmtId="44" fontId="13" fillId="0" borderId="26" xfId="0" applyNumberFormat="1" applyFont="1" applyBorder="1"/>
    <xf numFmtId="0" fontId="25" fillId="4" borderId="0" xfId="0" applyFont="1" applyFill="1" applyAlignment="1">
      <alignment horizontal="right" vertical="center"/>
    </xf>
    <xf numFmtId="165" fontId="7" fillId="0" borderId="20" xfId="0" applyNumberFormat="1" applyFont="1" applyBorder="1"/>
    <xf numFmtId="165" fontId="7" fillId="0" borderId="21" xfId="0" applyNumberFormat="1" applyFont="1" applyBorder="1"/>
    <xf numFmtId="0" fontId="0" fillId="4" borderId="37" xfId="0" applyFill="1" applyBorder="1" applyAlignment="1">
      <alignment horizontal="right" vertical="center"/>
    </xf>
    <xf numFmtId="0" fontId="15" fillId="4" borderId="26" xfId="0" applyFont="1" applyFill="1" applyBorder="1" applyAlignment="1">
      <alignment vertical="center"/>
    </xf>
    <xf numFmtId="0" fontId="15" fillId="4" borderId="25" xfId="0" applyFont="1" applyFill="1" applyBorder="1" applyAlignment="1">
      <alignment vertical="center"/>
    </xf>
    <xf numFmtId="0" fontId="15" fillId="4" borderId="16" xfId="0" applyFont="1" applyFill="1" applyBorder="1" applyAlignment="1">
      <alignment horizontal="left" vertical="center"/>
    </xf>
    <xf numFmtId="0" fontId="0" fillId="4" borderId="37" xfId="0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43" fillId="4" borderId="25" xfId="0" applyFont="1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15" fillId="4" borderId="17" xfId="0" applyFont="1" applyFill="1" applyBorder="1" applyAlignment="1">
      <alignment horizontal="left" vertical="center"/>
    </xf>
    <xf numFmtId="0" fontId="44" fillId="4" borderId="0" xfId="0" applyFont="1" applyFill="1"/>
    <xf numFmtId="0" fontId="0" fillId="0" borderId="0" xfId="0" applyAlignment="1">
      <alignment wrapText="1"/>
    </xf>
    <xf numFmtId="0" fontId="0" fillId="0" borderId="0" xfId="0" quotePrefix="1"/>
    <xf numFmtId="0" fontId="45" fillId="0" borderId="0" xfId="0" applyFont="1"/>
    <xf numFmtId="0" fontId="0" fillId="0" borderId="27" xfId="0" applyBorder="1"/>
    <xf numFmtId="0" fontId="0" fillId="0" borderId="42" xfId="0" applyBorder="1"/>
    <xf numFmtId="0" fontId="0" fillId="9" borderId="42" xfId="0" applyFill="1" applyBorder="1"/>
    <xf numFmtId="0" fontId="0" fillId="0" borderId="43" xfId="0" applyBorder="1"/>
    <xf numFmtId="0" fontId="0" fillId="0" borderId="44" xfId="0" applyBorder="1"/>
    <xf numFmtId="0" fontId="0" fillId="0" borderId="7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9" borderId="25" xfId="0" applyFill="1" applyBorder="1"/>
    <xf numFmtId="0" fontId="0" fillId="0" borderId="7" xfId="0" applyBorder="1"/>
    <xf numFmtId="0" fontId="0" fillId="0" borderId="47" xfId="0" quotePrefix="1" applyBorder="1"/>
    <xf numFmtId="0" fontId="15" fillId="4" borderId="0" xfId="0" applyFont="1" applyFill="1" applyAlignment="1">
      <alignment horizontal="right"/>
    </xf>
    <xf numFmtId="0" fontId="46" fillId="4" borderId="0" xfId="0" applyFont="1" applyFill="1"/>
    <xf numFmtId="42" fontId="47" fillId="4" borderId="0" xfId="2" applyNumberFormat="1" applyFont="1" applyFill="1" applyBorder="1" applyAlignment="1">
      <alignment vertical="center"/>
    </xf>
    <xf numFmtId="0" fontId="49" fillId="4" borderId="0" xfId="0" applyFont="1" applyFill="1"/>
    <xf numFmtId="0" fontId="49" fillId="4" borderId="0" xfId="0" applyFont="1" applyFill="1" applyAlignment="1">
      <alignment horizontal="right"/>
    </xf>
    <xf numFmtId="0" fontId="15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48" fillId="4" borderId="0" xfId="0" applyFont="1" applyFill="1"/>
    <xf numFmtId="0" fontId="25" fillId="4" borderId="0" xfId="0" applyFont="1" applyFill="1" applyAlignment="1">
      <alignment horizontal="left" vertical="center"/>
    </xf>
    <xf numFmtId="0" fontId="28" fillId="4" borderId="27" xfId="0" applyFont="1" applyFill="1" applyBorder="1" applyAlignment="1">
      <alignment horizontal="center"/>
    </xf>
    <xf numFmtId="0" fontId="28" fillId="4" borderId="41" xfId="0" applyFont="1" applyFill="1" applyBorder="1" applyAlignment="1">
      <alignment horizontal="center"/>
    </xf>
    <xf numFmtId="0" fontId="28" fillId="4" borderId="28" xfId="0" applyFont="1" applyFill="1" applyBorder="1" applyAlignment="1">
      <alignment horizontal="center"/>
    </xf>
    <xf numFmtId="0" fontId="27" fillId="4" borderId="0" xfId="0" applyFont="1" applyFill="1" applyAlignment="1">
      <alignment horizontal="center"/>
    </xf>
    <xf numFmtId="44" fontId="15" fillId="4" borderId="0" xfId="0" applyNumberFormat="1" applyFont="1" applyFill="1" applyAlignment="1">
      <alignment horizontal="center" vertical="center"/>
    </xf>
    <xf numFmtId="2" fontId="15" fillId="4" borderId="38" xfId="0" applyNumberFormat="1" applyFont="1" applyFill="1" applyBorder="1" applyAlignment="1">
      <alignment horizontal="left" vertical="center"/>
    </xf>
    <xf numFmtId="2" fontId="15" fillId="4" borderId="39" xfId="0" applyNumberFormat="1" applyFont="1" applyFill="1" applyBorder="1" applyAlignment="1">
      <alignment horizontal="left" vertical="center"/>
    </xf>
    <xf numFmtId="2" fontId="15" fillId="4" borderId="38" xfId="0" applyNumberFormat="1" applyFont="1" applyFill="1" applyBorder="1" applyAlignment="1">
      <alignment horizontal="center" vertical="center"/>
    </xf>
    <xf numFmtId="2" fontId="15" fillId="4" borderId="39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43" fillId="4" borderId="16" xfId="0" applyFont="1" applyFill="1" applyBorder="1" applyAlignment="1">
      <alignment horizontal="left" vertical="center"/>
    </xf>
    <xf numFmtId="0" fontId="43" fillId="4" borderId="20" xfId="0" applyFont="1" applyFill="1" applyBorder="1" applyAlignment="1">
      <alignment horizontal="left" vertical="center"/>
    </xf>
    <xf numFmtId="0" fontId="43" fillId="4" borderId="18" xfId="0" applyFont="1" applyFill="1" applyBorder="1" applyAlignment="1">
      <alignment horizontal="left" vertical="center"/>
    </xf>
    <xf numFmtId="0" fontId="43" fillId="4" borderId="21" xfId="0" applyFont="1" applyFill="1" applyBorder="1" applyAlignment="1">
      <alignment horizontal="left" vertical="center"/>
    </xf>
    <xf numFmtId="2" fontId="0" fillId="4" borderId="38" xfId="0" applyNumberFormat="1" applyFill="1" applyBorder="1" applyAlignment="1">
      <alignment horizontal="left" vertical="center"/>
    </xf>
    <xf numFmtId="2" fontId="0" fillId="4" borderId="39" xfId="0" applyNumberFormat="1" applyFill="1" applyBorder="1" applyAlignment="1">
      <alignment horizontal="left" vertical="center"/>
    </xf>
    <xf numFmtId="2" fontId="0" fillId="4" borderId="38" xfId="0" applyNumberFormat="1" applyFill="1" applyBorder="1" applyAlignment="1">
      <alignment horizontal="center" vertical="center"/>
    </xf>
    <xf numFmtId="2" fontId="0" fillId="4" borderId="39" xfId="0" applyNumberFormat="1" applyFill="1" applyBorder="1" applyAlignment="1">
      <alignment horizontal="center" vertical="center"/>
    </xf>
    <xf numFmtId="44" fontId="15" fillId="4" borderId="0" xfId="0" applyNumberFormat="1" applyFont="1" applyFill="1" applyAlignment="1">
      <alignment vertical="center"/>
    </xf>
    <xf numFmtId="0" fontId="0" fillId="4" borderId="20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 wrapText="1"/>
    </xf>
    <xf numFmtId="0" fontId="0" fillId="4" borderId="21" xfId="0" applyFill="1" applyBorder="1" applyAlignment="1">
      <alignment horizontal="left" vertical="center" wrapText="1"/>
    </xf>
    <xf numFmtId="0" fontId="0" fillId="4" borderId="19" xfId="0" applyFill="1" applyBorder="1" applyAlignment="1">
      <alignment horizontal="left" vertical="center" wrapText="1"/>
    </xf>
    <xf numFmtId="0" fontId="15" fillId="4" borderId="16" xfId="0" applyFont="1" applyFill="1" applyBorder="1" applyAlignment="1">
      <alignment horizontal="left" vertical="center"/>
    </xf>
    <xf numFmtId="0" fontId="15" fillId="4" borderId="20" xfId="0" applyFont="1" applyFill="1" applyBorder="1" applyAlignment="1">
      <alignment horizontal="left" vertical="center"/>
    </xf>
    <xf numFmtId="0" fontId="15" fillId="4" borderId="18" xfId="0" applyFont="1" applyFill="1" applyBorder="1" applyAlignment="1">
      <alignment horizontal="left" vertical="center"/>
    </xf>
    <xf numFmtId="0" fontId="15" fillId="4" borderId="21" xfId="0" applyFont="1" applyFill="1" applyBorder="1" applyAlignment="1">
      <alignment horizontal="left" vertical="center"/>
    </xf>
    <xf numFmtId="0" fontId="11" fillId="0" borderId="25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11" fillId="6" borderId="37" xfId="0" applyFont="1" applyFill="1" applyBorder="1" applyAlignment="1">
      <alignment horizontal="center"/>
    </xf>
    <xf numFmtId="0" fontId="11" fillId="6" borderId="26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7" borderId="37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8" borderId="25" xfId="0" applyFont="1" applyFill="1" applyBorder="1" applyAlignment="1">
      <alignment horizontal="center"/>
    </xf>
    <xf numFmtId="0" fontId="11" fillId="8" borderId="37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39" fillId="4" borderId="22" xfId="0" applyFont="1" applyFill="1" applyBorder="1" applyAlignment="1">
      <alignment horizontal="center"/>
    </xf>
    <xf numFmtId="0" fontId="34" fillId="4" borderId="23" xfId="0" applyFont="1" applyFill="1" applyBorder="1"/>
    <xf numFmtId="42" fontId="47" fillId="4" borderId="0" xfId="2" applyNumberFormat="1" applyFont="1" applyFill="1" applyBorder="1" applyAlignment="1">
      <alignment horizontal="center" vertical="center"/>
    </xf>
    <xf numFmtId="0" fontId="4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1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  <protection locked="0" hidden="0"/>
    </dxf>
    <dxf>
      <border outline="0">
        <top style="thin">
          <color auto="1"/>
        </top>
      </border>
    </dxf>
    <dxf>
      <border diagonalUp="0" diagonalDow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horizontal style="thin">
          <color auto="1"/>
        </horizontal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  <protection locked="0" hidden="0"/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  <protection locked="0" hidden="0"/>
    </dxf>
    <dxf>
      <border>
        <top style="thin">
          <color auto="1"/>
        </top>
      </border>
    </dxf>
    <dxf>
      <border diagonalUp="0" diagonalDown="0">
        <left/>
        <right style="thin">
          <color auto="1"/>
        </right>
        <top/>
        <bottom style="thin">
          <color auto="1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auto="1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766652"/>
      <color rgb="FF968168"/>
      <color rgb="FFAB9A85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Accueil 2 ND'!A1"/><Relationship Id="rId2" Type="http://schemas.openxmlformats.org/officeDocument/2006/relationships/hyperlink" Target="#'Accueil 2 EN'!A1"/><Relationship Id="rId1" Type="http://schemas.openxmlformats.org/officeDocument/2006/relationships/hyperlink" Target="#'Accueil 2 FR'!A1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7.png"/><Relationship Id="rId1" Type="http://schemas.openxmlformats.org/officeDocument/2006/relationships/hyperlink" Target="#'Accueil 2 ND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hyperlink" Target="#'Accueil 2 FR'!A1"/><Relationship Id="rId1" Type="http://schemas.openxmlformats.org/officeDocument/2006/relationships/image" Target="../media/image13.png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4" Type="http://schemas.openxmlformats.org/officeDocument/2006/relationships/image" Target="../media/image19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hyperlink" Target="#'Accueil 2 EN'!A1"/><Relationship Id="rId1" Type="http://schemas.openxmlformats.org/officeDocument/2006/relationships/image" Target="../media/image13.png"/><Relationship Id="rId6" Type="http://schemas.openxmlformats.org/officeDocument/2006/relationships/image" Target="../media/image24.emf"/><Relationship Id="rId5" Type="http://schemas.openxmlformats.org/officeDocument/2006/relationships/image" Target="../media/image23.emf"/><Relationship Id="rId4" Type="http://schemas.openxmlformats.org/officeDocument/2006/relationships/image" Target="../media/image22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hyperlink" Target="#'Accueil 2 ND'!A1"/><Relationship Id="rId1" Type="http://schemas.openxmlformats.org/officeDocument/2006/relationships/image" Target="../media/image13.png"/><Relationship Id="rId6" Type="http://schemas.openxmlformats.org/officeDocument/2006/relationships/image" Target="../media/image27.emf"/><Relationship Id="rId5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6" Type="http://schemas.openxmlformats.org/officeDocument/2006/relationships/image" Target="../media/image33.png"/><Relationship Id="rId5" Type="http://schemas.openxmlformats.org/officeDocument/2006/relationships/image" Target="../media/image32.png"/><Relationship Id="rId4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png"/><Relationship Id="rId3" Type="http://schemas.openxmlformats.org/officeDocument/2006/relationships/image" Target="../media/image35.png"/><Relationship Id="rId7" Type="http://schemas.openxmlformats.org/officeDocument/2006/relationships/image" Target="../media/image39.png"/><Relationship Id="rId2" Type="http://schemas.openxmlformats.org/officeDocument/2006/relationships/image" Target="../media/image5.png"/><Relationship Id="rId1" Type="http://schemas.openxmlformats.org/officeDocument/2006/relationships/image" Target="../media/image34.png"/><Relationship Id="rId6" Type="http://schemas.openxmlformats.org/officeDocument/2006/relationships/image" Target="../media/image38.png"/><Relationship Id="rId5" Type="http://schemas.openxmlformats.org/officeDocument/2006/relationships/image" Target="../media/image37.png"/><Relationship Id="rId4" Type="http://schemas.openxmlformats.org/officeDocument/2006/relationships/image" Target="../media/image3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https://www.mathy-by-bols.be/fr/593-configurateur-3d-asymetry" TargetMode="External"/><Relationship Id="rId7" Type="http://schemas.openxmlformats.org/officeDocument/2006/relationships/image" Target="../media/image4.png"/><Relationship Id="rId12" Type="http://schemas.openxmlformats.org/officeDocument/2006/relationships/hyperlink" Target="#'Calcu Mad FR'!A1"/><Relationship Id="rId2" Type="http://schemas.openxmlformats.org/officeDocument/2006/relationships/hyperlink" Target="https://www.mathy-by-bols.be/fr/592-configurateur-3d-cabane" TargetMode="External"/><Relationship Id="rId1" Type="http://schemas.openxmlformats.org/officeDocument/2006/relationships/hyperlink" Target="#'Calcu Bas Fr'!A1"/><Relationship Id="rId6" Type="http://schemas.openxmlformats.org/officeDocument/2006/relationships/image" Target="../media/image3.png"/><Relationship Id="rId11" Type="http://schemas.openxmlformats.org/officeDocument/2006/relationships/image" Target="../media/image7.png"/><Relationship Id="rId5" Type="http://schemas.openxmlformats.org/officeDocument/2006/relationships/image" Target="../media/image2.png"/><Relationship Id="rId10" Type="http://schemas.openxmlformats.org/officeDocument/2006/relationships/hyperlink" Target="#'Calcu Bur FR'!A1"/><Relationship Id="rId4" Type="http://schemas.openxmlformats.org/officeDocument/2006/relationships/hyperlink" Target="#Accueil!A1"/><Relationship Id="rId9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Accueil!A1"/><Relationship Id="rId7" Type="http://schemas.openxmlformats.org/officeDocument/2006/relationships/image" Target="../media/image5.png"/><Relationship Id="rId12" Type="http://schemas.openxmlformats.org/officeDocument/2006/relationships/hyperlink" Target="#'Calcu Bur EN'!A1"/><Relationship Id="rId2" Type="http://schemas.openxmlformats.org/officeDocument/2006/relationships/hyperlink" Target="https://www.mathy-by-bols.be/fr/593-configurateur-3d-asymetry" TargetMode="External"/><Relationship Id="rId1" Type="http://schemas.openxmlformats.org/officeDocument/2006/relationships/hyperlink" Target="https://www.mathy-by-bols.be/en/592-treehouse-3d-configurator" TargetMode="External"/><Relationship Id="rId6" Type="http://schemas.openxmlformats.org/officeDocument/2006/relationships/image" Target="../media/image4.png"/><Relationship Id="rId11" Type="http://schemas.openxmlformats.org/officeDocument/2006/relationships/hyperlink" Target="#'Calcu Bas EN'!A1"/><Relationship Id="rId5" Type="http://schemas.openxmlformats.org/officeDocument/2006/relationships/image" Target="../media/image3.png"/><Relationship Id="rId10" Type="http://schemas.openxmlformats.org/officeDocument/2006/relationships/hyperlink" Target="#'Calcu Mad EN'!A1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hyperlink" Target="#Accueil!A1"/><Relationship Id="rId7" Type="http://schemas.openxmlformats.org/officeDocument/2006/relationships/image" Target="../media/image5.png"/><Relationship Id="rId12" Type="http://schemas.openxmlformats.org/officeDocument/2006/relationships/hyperlink" Target="#'Calcu Bur ND'!A1"/><Relationship Id="rId2" Type="http://schemas.openxmlformats.org/officeDocument/2006/relationships/hyperlink" Target="https://www.mathy-by-bols.be/fr/593-configurateur-3d-asymetry" TargetMode="External"/><Relationship Id="rId1" Type="http://schemas.openxmlformats.org/officeDocument/2006/relationships/hyperlink" Target="https://www.mathy-by-bols.be/nl/592-3d-configurator-voor-boomhut" TargetMode="External"/><Relationship Id="rId6" Type="http://schemas.openxmlformats.org/officeDocument/2006/relationships/image" Target="../media/image4.png"/><Relationship Id="rId11" Type="http://schemas.openxmlformats.org/officeDocument/2006/relationships/hyperlink" Target="#'Calcu Bas ND'!A1"/><Relationship Id="rId5" Type="http://schemas.openxmlformats.org/officeDocument/2006/relationships/image" Target="../media/image3.png"/><Relationship Id="rId10" Type="http://schemas.openxmlformats.org/officeDocument/2006/relationships/hyperlink" Target="#'Calcu Mad ND'!A1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0.png"/><Relationship Id="rId1" Type="http://schemas.openxmlformats.org/officeDocument/2006/relationships/hyperlink" Target="#'Accueil 2 FR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1.png"/><Relationship Id="rId1" Type="http://schemas.openxmlformats.org/officeDocument/2006/relationships/hyperlink" Target="#'Accueil 2 EN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2.png"/><Relationship Id="rId1" Type="http://schemas.openxmlformats.org/officeDocument/2006/relationships/hyperlink" Target="#'Accueil 2 ND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png"/><Relationship Id="rId1" Type="http://schemas.openxmlformats.org/officeDocument/2006/relationships/hyperlink" Target="#'Accueil 2 FR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6.png"/><Relationship Id="rId1" Type="http://schemas.openxmlformats.org/officeDocument/2006/relationships/hyperlink" Target="#'Accueil 2 EN'!A1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19050</xdr:colOff>
      <xdr:row>24</xdr:row>
      <xdr:rowOff>133350</xdr:rowOff>
    </xdr:from>
    <xdr:to>
      <xdr:col>6</xdr:col>
      <xdr:colOff>0</xdr:colOff>
      <xdr:row>31</xdr:row>
      <xdr:rowOff>0</xdr:rowOff>
    </xdr:to>
    <xdr:sp macro="" textlink="">
      <xdr:nvSpPr>
        <xdr:cNvPr id="5" name="ZoneText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5F124-0E11-3A5C-1A08-C22E73F08F99}"/>
            </a:ext>
          </a:extLst>
        </xdr:cNvPr>
        <xdr:cNvSpPr txBox="1"/>
      </xdr:nvSpPr>
      <xdr:spPr>
        <a:xfrm>
          <a:off x="2305050" y="4705350"/>
          <a:ext cx="2266950" cy="1200150"/>
        </a:xfrm>
        <a:prstGeom prst="roundRect">
          <a:avLst/>
        </a:prstGeom>
        <a:solidFill>
          <a:srgbClr val="AB9A85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Français</a:t>
          </a:r>
        </a:p>
      </xdr:txBody>
    </xdr:sp>
    <xdr:clientData/>
  </xdr:twoCellAnchor>
  <xdr:twoCellAnchor>
    <xdr:from>
      <xdr:col>8</xdr:col>
      <xdr:colOff>19050</xdr:colOff>
      <xdr:row>24</xdr:row>
      <xdr:rowOff>114300</xdr:rowOff>
    </xdr:from>
    <xdr:to>
      <xdr:col>11</xdr:col>
      <xdr:colOff>0</xdr:colOff>
      <xdr:row>30</xdr:row>
      <xdr:rowOff>171450</xdr:rowOff>
    </xdr:to>
    <xdr:sp macro="" textlink="">
      <xdr:nvSpPr>
        <xdr:cNvPr id="6" name="ZoneText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57F7AB-9E40-40DA-A496-46D498402756}"/>
            </a:ext>
          </a:extLst>
        </xdr:cNvPr>
        <xdr:cNvSpPr txBox="1"/>
      </xdr:nvSpPr>
      <xdr:spPr>
        <a:xfrm>
          <a:off x="6115050" y="4686300"/>
          <a:ext cx="2266950" cy="1200150"/>
        </a:xfrm>
        <a:prstGeom prst="roundRect">
          <a:avLst/>
        </a:prstGeom>
        <a:solidFill>
          <a:srgbClr val="AB9A85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English</a:t>
          </a:r>
        </a:p>
      </xdr:txBody>
    </xdr:sp>
    <xdr:clientData/>
  </xdr:twoCellAnchor>
  <xdr:twoCellAnchor>
    <xdr:from>
      <xdr:col>13</xdr:col>
      <xdr:colOff>0</xdr:colOff>
      <xdr:row>24</xdr:row>
      <xdr:rowOff>123825</xdr:rowOff>
    </xdr:from>
    <xdr:to>
      <xdr:col>15</xdr:col>
      <xdr:colOff>742950</xdr:colOff>
      <xdr:row>30</xdr:row>
      <xdr:rowOff>180975</xdr:rowOff>
    </xdr:to>
    <xdr:sp macro="" textlink="">
      <xdr:nvSpPr>
        <xdr:cNvPr id="7" name="ZoneText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848748-0AD2-4F49-B759-F3F4BEFADC1E}"/>
            </a:ext>
          </a:extLst>
        </xdr:cNvPr>
        <xdr:cNvSpPr txBox="1"/>
      </xdr:nvSpPr>
      <xdr:spPr>
        <a:xfrm>
          <a:off x="9906000" y="4695825"/>
          <a:ext cx="2266950" cy="1200150"/>
        </a:xfrm>
        <a:prstGeom prst="roundRect">
          <a:avLst/>
        </a:prstGeom>
        <a:solidFill>
          <a:srgbClr val="AB9A85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Nederlands</a:t>
          </a:r>
        </a:p>
      </xdr:txBody>
    </xdr:sp>
    <xdr:clientData/>
  </xdr:twoCellAnchor>
  <xdr:twoCellAnchor>
    <xdr:from>
      <xdr:col>12</xdr:col>
      <xdr:colOff>552450</xdr:colOff>
      <xdr:row>10</xdr:row>
      <xdr:rowOff>38100</xdr:rowOff>
    </xdr:from>
    <xdr:to>
      <xdr:col>17</xdr:col>
      <xdr:colOff>714375</xdr:colOff>
      <xdr:row>15</xdr:row>
      <xdr:rowOff>66675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9AF48A52-4D9F-FD7D-13EB-2D19CAE98E75}"/>
            </a:ext>
          </a:extLst>
        </xdr:cNvPr>
        <xdr:cNvSpPr txBox="1"/>
      </xdr:nvSpPr>
      <xdr:spPr>
        <a:xfrm>
          <a:off x="9696450" y="1943100"/>
          <a:ext cx="39719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4800" b="0">
              <a:solidFill>
                <a:srgbClr val="766652"/>
              </a:solidFill>
            </a:rPr>
            <a:t>Create yours...</a:t>
          </a:r>
        </a:p>
      </xdr:txBody>
    </xdr:sp>
    <xdr:clientData/>
  </xdr:twoCellAnchor>
  <xdr:twoCellAnchor editAs="oneCell">
    <xdr:from>
      <xdr:col>2</xdr:col>
      <xdr:colOff>554355</xdr:colOff>
      <xdr:row>3</xdr:row>
      <xdr:rowOff>20955</xdr:rowOff>
    </xdr:from>
    <xdr:to>
      <xdr:col>12</xdr:col>
      <xdr:colOff>510540</xdr:colOff>
      <xdr:row>13</xdr:row>
      <xdr:rowOff>32384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50B23B8-7AA7-A965-0FA2-EA0F23C6F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455" y="563880"/>
          <a:ext cx="7766685" cy="18211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716280</xdr:colOff>
      <xdr:row>18</xdr:row>
      <xdr:rowOff>318135</xdr:rowOff>
    </xdr:from>
    <xdr:to>
      <xdr:col>6</xdr:col>
      <xdr:colOff>1905</xdr:colOff>
      <xdr:row>20</xdr:row>
      <xdr:rowOff>66675</xdr:rowOff>
    </xdr:to>
    <xdr:sp macro="" textlink="">
      <xdr:nvSpPr>
        <xdr:cNvPr id="6" name="Rectangle : coins arrondi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FAFA8-EACA-4CE4-BF3A-CB45D492B0F4}"/>
            </a:ext>
          </a:extLst>
        </xdr:cNvPr>
        <xdr:cNvSpPr/>
      </xdr:nvSpPr>
      <xdr:spPr>
        <a:xfrm>
          <a:off x="8469630" y="6233160"/>
          <a:ext cx="1200150" cy="339090"/>
        </a:xfrm>
        <a:prstGeom prst="roundRect">
          <a:avLst/>
        </a:prstGeom>
        <a:solidFill>
          <a:srgbClr val="AB9A8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BE" sz="1500" baseline="0">
              <a:latin typeface="Calibri" panose="020F0502020204030204" pitchFamily="34" charset="0"/>
            </a:rPr>
            <a:t>Terug </a:t>
          </a:r>
        </a:p>
      </xdr:txBody>
    </xdr:sp>
    <xdr:clientData fLocksWithSheet="0"/>
  </xdr:twoCellAnchor>
  <xdr:twoCellAnchor editAs="oneCell">
    <xdr:from>
      <xdr:col>0</xdr:col>
      <xdr:colOff>137159</xdr:colOff>
      <xdr:row>0</xdr:row>
      <xdr:rowOff>113392</xdr:rowOff>
    </xdr:from>
    <xdr:to>
      <xdr:col>0</xdr:col>
      <xdr:colOff>3025693</xdr:colOff>
      <xdr:row>2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135664F-A778-468C-B297-77E968A19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" y="113392"/>
          <a:ext cx="2884724" cy="6790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</xdr:row>
          <xdr:rowOff>276225</xdr:rowOff>
        </xdr:from>
        <xdr:to>
          <xdr:col>10</xdr:col>
          <xdr:colOff>371475</xdr:colOff>
          <xdr:row>16</xdr:row>
          <xdr:rowOff>361950</xdr:rowOff>
        </xdr:to>
        <xdr:pic>
          <xdr:nvPicPr>
            <xdr:cNvPr id="4" name="Image 3">
              <a:extLst>
                <a:ext uri="{FF2B5EF4-FFF2-40B4-BE49-F238E27FC236}">
                  <a16:creationId xmlns:a16="http://schemas.microsoft.com/office/drawing/2014/main" id="{85A5DD7F-A455-4D15-5393-C2CC9F7959A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adaVisuND" spid="_x0000_s1136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9886950" y="1476375"/>
              <a:ext cx="3238500" cy="41529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390525</xdr:colOff>
          <xdr:row>16</xdr:row>
          <xdr:rowOff>57150</xdr:rowOff>
        </xdr:from>
        <xdr:to>
          <xdr:col>6</xdr:col>
          <xdr:colOff>266700</xdr:colOff>
          <xdr:row>18</xdr:row>
          <xdr:rowOff>247650</xdr:rowOff>
        </xdr:to>
        <xdr:sp macro="" textlink="">
          <xdr:nvSpPr>
            <xdr:cNvPr id="11273" name="Button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A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Configuratie exporteren naar PDF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60960</xdr:rowOff>
    </xdr:from>
    <xdr:to>
      <xdr:col>1</xdr:col>
      <xdr:colOff>2320291</xdr:colOff>
      <xdr:row>3</xdr:row>
      <xdr:rowOff>36107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20B3D9-642A-4934-A3D0-D2CECF23C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1" y="60960"/>
          <a:ext cx="3040380" cy="714287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26</xdr:row>
      <xdr:rowOff>123825</xdr:rowOff>
    </xdr:from>
    <xdr:to>
      <xdr:col>8</xdr:col>
      <xdr:colOff>552450</xdr:colOff>
      <xdr:row>28</xdr:row>
      <xdr:rowOff>100965</xdr:rowOff>
    </xdr:to>
    <xdr:sp macro="" textlink="">
      <xdr:nvSpPr>
        <xdr:cNvPr id="3" name="Rectangle : coins arrondi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5ABD34-0204-4D06-918A-3F7D643C9F15}"/>
            </a:ext>
          </a:extLst>
        </xdr:cNvPr>
        <xdr:cNvSpPr/>
      </xdr:nvSpPr>
      <xdr:spPr>
        <a:xfrm>
          <a:off x="7877175" y="5248275"/>
          <a:ext cx="1219200" cy="339090"/>
        </a:xfrm>
        <a:prstGeom prst="roundRect">
          <a:avLst/>
        </a:prstGeom>
        <a:solidFill>
          <a:srgbClr val="AB9A8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BE" sz="1500" baseline="0">
              <a:latin typeface="Calibri" panose="020F0502020204030204" pitchFamily="34" charset="0"/>
            </a:rPr>
            <a:t>Retour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26</xdr:row>
          <xdr:rowOff>133350</xdr:rowOff>
        </xdr:from>
        <xdr:to>
          <xdr:col>6</xdr:col>
          <xdr:colOff>219075</xdr:colOff>
          <xdr:row>29</xdr:row>
          <xdr:rowOff>161925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B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Exporter la configuration en PDF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5</xdr:col>
      <xdr:colOff>0</xdr:colOff>
      <xdr:row>5</xdr:row>
      <xdr:rowOff>0</xdr:rowOff>
    </xdr:from>
    <xdr:to>
      <xdr:col>8</xdr:col>
      <xdr:colOff>257175</xdr:colOff>
      <xdr:row>14</xdr:row>
      <xdr:rowOff>28575</xdr:rowOff>
    </xdr:to>
    <xdr:pic>
      <xdr:nvPicPr>
        <xdr:cNvPr id="12301" name="Img_D9">
          <a:extLst>
            <a:ext uri="{FF2B5EF4-FFF2-40B4-BE49-F238E27FC236}">
              <a16:creationId xmlns:a16="http://schemas.microsoft.com/office/drawing/2014/main" id="{EA7F52C6-16B9-7C63-3ED7-67446C2C1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1133475"/>
          <a:ext cx="257175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514350</xdr:colOff>
      <xdr:row>23</xdr:row>
      <xdr:rowOff>180975</xdr:rowOff>
    </xdr:to>
    <xdr:pic>
      <xdr:nvPicPr>
        <xdr:cNvPr id="12302" name="Img_D18">
          <a:extLst>
            <a:ext uri="{FF2B5EF4-FFF2-40B4-BE49-F238E27FC236}">
              <a16:creationId xmlns:a16="http://schemas.microsoft.com/office/drawing/2014/main" id="{C8F8549F-8C38-3C71-A6D7-B68F97C6E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3238500"/>
          <a:ext cx="128587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9</xdr:col>
      <xdr:colOff>19050</xdr:colOff>
      <xdr:row>24</xdr:row>
      <xdr:rowOff>104775</xdr:rowOff>
    </xdr:to>
    <xdr:pic>
      <xdr:nvPicPr>
        <xdr:cNvPr id="12303" name="Img_D20">
          <a:extLst>
            <a:ext uri="{FF2B5EF4-FFF2-40B4-BE49-F238E27FC236}">
              <a16:creationId xmlns:a16="http://schemas.microsoft.com/office/drawing/2014/main" id="{1928D430-9C24-C35A-7539-854836DC0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238500"/>
          <a:ext cx="1562100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12</xdr:col>
      <xdr:colOff>533400</xdr:colOff>
      <xdr:row>23</xdr:row>
      <xdr:rowOff>66675</xdr:rowOff>
    </xdr:to>
    <xdr:pic>
      <xdr:nvPicPr>
        <xdr:cNvPr id="12304" name="Img_D24">
          <a:extLst>
            <a:ext uri="{FF2B5EF4-FFF2-40B4-BE49-F238E27FC236}">
              <a16:creationId xmlns:a16="http://schemas.microsoft.com/office/drawing/2014/main" id="{396E360E-0BC2-BE1B-13B7-C2228D961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3238500"/>
          <a:ext cx="13049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60960</xdr:rowOff>
    </xdr:from>
    <xdr:to>
      <xdr:col>1</xdr:col>
      <xdr:colOff>2339341</xdr:colOff>
      <xdr:row>4</xdr:row>
      <xdr:rowOff>26582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0891C0-989E-46A4-8130-7417E6D0D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1" y="60960"/>
          <a:ext cx="2973705" cy="727622"/>
        </a:xfrm>
        <a:prstGeom prst="rect">
          <a:avLst/>
        </a:prstGeom>
      </xdr:spPr>
    </xdr:pic>
    <xdr:clientData/>
  </xdr:twoCellAnchor>
  <xdr:twoCellAnchor>
    <xdr:from>
      <xdr:col>7</xdr:col>
      <xdr:colOff>247650</xdr:colOff>
      <xdr:row>27</xdr:row>
      <xdr:rowOff>9525</xdr:rowOff>
    </xdr:from>
    <xdr:to>
      <xdr:col>8</xdr:col>
      <xdr:colOff>647700</xdr:colOff>
      <xdr:row>28</xdr:row>
      <xdr:rowOff>167640</xdr:rowOff>
    </xdr:to>
    <xdr:sp macro="" textlink="">
      <xdr:nvSpPr>
        <xdr:cNvPr id="3" name="Rectangle : coins arrondi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AF7E7F-2718-49AB-B908-546C9F4EE528}"/>
            </a:ext>
          </a:extLst>
        </xdr:cNvPr>
        <xdr:cNvSpPr/>
      </xdr:nvSpPr>
      <xdr:spPr>
        <a:xfrm>
          <a:off x="8020050" y="5314950"/>
          <a:ext cx="1171575" cy="339090"/>
        </a:xfrm>
        <a:prstGeom prst="roundRect">
          <a:avLst/>
        </a:prstGeom>
        <a:solidFill>
          <a:srgbClr val="AB9A8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BE" sz="1500" baseline="0">
              <a:latin typeface="Calibri" panose="020F0502020204030204" pitchFamily="34" charset="0"/>
            </a:rPr>
            <a:t>Back </a:t>
          </a:r>
        </a:p>
      </xdr:txBody>
    </xdr:sp>
    <xdr:clientData fLocksWithSheet="0"/>
  </xdr:twoCellAnchor>
  <xdr:twoCellAnchor editAs="oneCell">
    <xdr:from>
      <xdr:col>5</xdr:col>
      <xdr:colOff>0</xdr:colOff>
      <xdr:row>5</xdr:row>
      <xdr:rowOff>0</xdr:rowOff>
    </xdr:from>
    <xdr:to>
      <xdr:col>8</xdr:col>
      <xdr:colOff>257175</xdr:colOff>
      <xdr:row>14</xdr:row>
      <xdr:rowOff>28575</xdr:rowOff>
    </xdr:to>
    <xdr:pic>
      <xdr:nvPicPr>
        <xdr:cNvPr id="13375" name="Img_D9">
          <a:extLst>
            <a:ext uri="{FF2B5EF4-FFF2-40B4-BE49-F238E27FC236}">
              <a16:creationId xmlns:a16="http://schemas.microsoft.com/office/drawing/2014/main" id="{042DD963-E9D3-2368-A38A-81395EE9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1133475"/>
          <a:ext cx="257175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514350</xdr:colOff>
      <xdr:row>23</xdr:row>
      <xdr:rowOff>180975</xdr:rowOff>
    </xdr:to>
    <xdr:pic>
      <xdr:nvPicPr>
        <xdr:cNvPr id="13376" name="Img_D18">
          <a:extLst>
            <a:ext uri="{FF2B5EF4-FFF2-40B4-BE49-F238E27FC236}">
              <a16:creationId xmlns:a16="http://schemas.microsoft.com/office/drawing/2014/main" id="{3FAA57B3-389A-F701-23A1-21F1E62E5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3238500"/>
          <a:ext cx="128587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9</xdr:col>
      <xdr:colOff>19050</xdr:colOff>
      <xdr:row>24</xdr:row>
      <xdr:rowOff>104775</xdr:rowOff>
    </xdr:to>
    <xdr:pic>
      <xdr:nvPicPr>
        <xdr:cNvPr id="13377" name="Img_D20">
          <a:extLst>
            <a:ext uri="{FF2B5EF4-FFF2-40B4-BE49-F238E27FC236}">
              <a16:creationId xmlns:a16="http://schemas.microsoft.com/office/drawing/2014/main" id="{51CACC15-E28A-C2FD-462D-A0A01717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238500"/>
          <a:ext cx="1562100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12</xdr:col>
      <xdr:colOff>533400</xdr:colOff>
      <xdr:row>23</xdr:row>
      <xdr:rowOff>66675</xdr:rowOff>
    </xdr:to>
    <xdr:pic>
      <xdr:nvPicPr>
        <xdr:cNvPr id="13378" name="Img_D24">
          <a:extLst>
            <a:ext uri="{FF2B5EF4-FFF2-40B4-BE49-F238E27FC236}">
              <a16:creationId xmlns:a16="http://schemas.microsoft.com/office/drawing/2014/main" id="{C8ED4456-5798-B0CD-8C8B-FA2698FE6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3238500"/>
          <a:ext cx="13049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695325</xdr:colOff>
          <xdr:row>27</xdr:row>
          <xdr:rowOff>66675</xdr:rowOff>
        </xdr:from>
        <xdr:to>
          <xdr:col>5</xdr:col>
          <xdr:colOff>762000</xdr:colOff>
          <xdr:row>30</xdr:row>
          <xdr:rowOff>161925</xdr:rowOff>
        </xdr:to>
        <xdr:sp macro="" textlink="">
          <xdr:nvSpPr>
            <xdr:cNvPr id="13314" name="Butto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C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Export configuration to PDF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60960</xdr:rowOff>
    </xdr:from>
    <xdr:to>
      <xdr:col>1</xdr:col>
      <xdr:colOff>2339341</xdr:colOff>
      <xdr:row>4</xdr:row>
      <xdr:rowOff>26582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7E568EA-FF5A-437B-B9C2-48DE5AD47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1" y="60960"/>
          <a:ext cx="2973705" cy="727622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25</xdr:row>
      <xdr:rowOff>180975</xdr:rowOff>
    </xdr:from>
    <xdr:to>
      <xdr:col>8</xdr:col>
      <xdr:colOff>666750</xdr:colOff>
      <xdr:row>27</xdr:row>
      <xdr:rowOff>148590</xdr:rowOff>
    </xdr:to>
    <xdr:sp macro="" textlink="">
      <xdr:nvSpPr>
        <xdr:cNvPr id="8" name="Rectangle : coins arrondi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01CCD9-87A2-4BA4-92EF-AD6E793B6AAD}"/>
            </a:ext>
          </a:extLst>
        </xdr:cNvPr>
        <xdr:cNvSpPr/>
      </xdr:nvSpPr>
      <xdr:spPr>
        <a:xfrm>
          <a:off x="8134350" y="5114925"/>
          <a:ext cx="1200150" cy="339090"/>
        </a:xfrm>
        <a:prstGeom prst="roundRect">
          <a:avLst/>
        </a:prstGeom>
        <a:solidFill>
          <a:srgbClr val="AB9A8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BE" sz="1500" baseline="0">
              <a:latin typeface="Calibri" panose="020F0502020204030204" pitchFamily="34" charset="0"/>
            </a:rPr>
            <a:t>Terug </a:t>
          </a: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609600</xdr:colOff>
          <xdr:row>26</xdr:row>
          <xdr:rowOff>66675</xdr:rowOff>
        </xdr:from>
        <xdr:to>
          <xdr:col>6</xdr:col>
          <xdr:colOff>85725</xdr:colOff>
          <xdr:row>30</xdr:row>
          <xdr:rowOff>161925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D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Configuratie exporteren naar PDF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5</xdr:col>
      <xdr:colOff>0</xdr:colOff>
      <xdr:row>5</xdr:row>
      <xdr:rowOff>0</xdr:rowOff>
    </xdr:from>
    <xdr:to>
      <xdr:col>8</xdr:col>
      <xdr:colOff>257175</xdr:colOff>
      <xdr:row>14</xdr:row>
      <xdr:rowOff>28575</xdr:rowOff>
    </xdr:to>
    <xdr:pic>
      <xdr:nvPicPr>
        <xdr:cNvPr id="14362" name="Img_D9">
          <a:extLst>
            <a:ext uri="{FF2B5EF4-FFF2-40B4-BE49-F238E27FC236}">
              <a16:creationId xmlns:a16="http://schemas.microsoft.com/office/drawing/2014/main" id="{5938BFAA-4B3A-5750-7CA1-5125F8957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133475"/>
          <a:ext cx="257175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514350</xdr:colOff>
      <xdr:row>23</xdr:row>
      <xdr:rowOff>180975</xdr:rowOff>
    </xdr:to>
    <xdr:pic>
      <xdr:nvPicPr>
        <xdr:cNvPr id="14363" name="Img_D18">
          <a:extLst>
            <a:ext uri="{FF2B5EF4-FFF2-40B4-BE49-F238E27FC236}">
              <a16:creationId xmlns:a16="http://schemas.microsoft.com/office/drawing/2014/main" id="{0F836B8F-5743-53A2-FEAF-695302F54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3238500"/>
          <a:ext cx="128587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9</xdr:col>
      <xdr:colOff>19050</xdr:colOff>
      <xdr:row>24</xdr:row>
      <xdr:rowOff>104775</xdr:rowOff>
    </xdr:to>
    <xdr:pic>
      <xdr:nvPicPr>
        <xdr:cNvPr id="14364" name="Img_D20">
          <a:extLst>
            <a:ext uri="{FF2B5EF4-FFF2-40B4-BE49-F238E27FC236}">
              <a16:creationId xmlns:a16="http://schemas.microsoft.com/office/drawing/2014/main" id="{D2CA06F6-7E52-6870-F43C-86953F22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3238500"/>
          <a:ext cx="1562100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12</xdr:col>
      <xdr:colOff>533400</xdr:colOff>
      <xdr:row>23</xdr:row>
      <xdr:rowOff>66675</xdr:rowOff>
    </xdr:to>
    <xdr:pic>
      <xdr:nvPicPr>
        <xdr:cNvPr id="14365" name="Img_D24">
          <a:extLst>
            <a:ext uri="{FF2B5EF4-FFF2-40B4-BE49-F238E27FC236}">
              <a16:creationId xmlns:a16="http://schemas.microsoft.com/office/drawing/2014/main" id="{495AB8E8-F1F5-FE0A-D4F1-00E5B863C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3238500"/>
          <a:ext cx="13049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</xdr:colOff>
      <xdr:row>22</xdr:row>
      <xdr:rowOff>47625</xdr:rowOff>
    </xdr:from>
    <xdr:to>
      <xdr:col>17</xdr:col>
      <xdr:colOff>2628901</xdr:colOff>
      <xdr:row>22</xdr:row>
      <xdr:rowOff>1823190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E76BED-4A2E-47DE-8F9A-965F053BE1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62" t="5377" r="12122" b="4302"/>
        <a:stretch>
          <a:fillRect/>
        </a:stretch>
      </xdr:blipFill>
      <xdr:spPr>
        <a:xfrm>
          <a:off x="13925550" y="4657725"/>
          <a:ext cx="2571751" cy="1775565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38100</xdr:colOff>
      <xdr:row>23</xdr:row>
      <xdr:rowOff>38099</xdr:rowOff>
    </xdr:from>
    <xdr:to>
      <xdr:col>17</xdr:col>
      <xdr:colOff>3009900</xdr:colOff>
      <xdr:row>23</xdr:row>
      <xdr:rowOff>1752600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8F944F7-F1BE-4C30-AA98-EBD1442311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99" t="9099" r="6960" b="4689"/>
        <a:stretch>
          <a:fillRect/>
        </a:stretch>
      </xdr:blipFill>
      <xdr:spPr>
        <a:xfrm>
          <a:off x="13906500" y="6505574"/>
          <a:ext cx="2971800" cy="1714501"/>
        </a:xfrm>
        <a:prstGeom prst="rect">
          <a:avLst/>
        </a:prstGeom>
      </xdr:spPr>
    </xdr:pic>
    <xdr:clientData/>
  </xdr:twoCellAnchor>
  <xdr:twoCellAnchor editAs="oneCell">
    <xdr:from>
      <xdr:col>17</xdr:col>
      <xdr:colOff>314325</xdr:colOff>
      <xdr:row>25</xdr:row>
      <xdr:rowOff>114300</xdr:rowOff>
    </xdr:from>
    <xdr:to>
      <xdr:col>17</xdr:col>
      <xdr:colOff>1876425</xdr:colOff>
      <xdr:row>25</xdr:row>
      <xdr:rowOff>1724025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04EBD6B-69FD-46D7-AE9D-9E4D9E3B0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2725" y="10067925"/>
          <a:ext cx="1562100" cy="1609725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24</xdr:row>
      <xdr:rowOff>66675</xdr:rowOff>
    </xdr:from>
    <xdr:to>
      <xdr:col>17</xdr:col>
      <xdr:colOff>1438275</xdr:colOff>
      <xdr:row>24</xdr:row>
      <xdr:rowOff>1562100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540FBFA-80C0-4031-BDBB-FC13897FCB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7" t="3364" r="8187" b="8604"/>
        <a:stretch>
          <a:fillRect/>
        </a:stretch>
      </xdr:blipFill>
      <xdr:spPr>
        <a:xfrm>
          <a:off x="14020800" y="8343900"/>
          <a:ext cx="1285875" cy="1495425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26</xdr:row>
      <xdr:rowOff>66675</xdr:rowOff>
    </xdr:from>
    <xdr:to>
      <xdr:col>17</xdr:col>
      <xdr:colOff>1857375</xdr:colOff>
      <xdr:row>26</xdr:row>
      <xdr:rowOff>1485900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ECF8ED0-4516-4362-A835-FCBFDAE6F0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29" t="11079" r="529" b="6367"/>
        <a:stretch>
          <a:fillRect/>
        </a:stretch>
      </xdr:blipFill>
      <xdr:spPr>
        <a:xfrm>
          <a:off x="13925550" y="11820525"/>
          <a:ext cx="1800225" cy="1419225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38100</xdr:colOff>
      <xdr:row>27</xdr:row>
      <xdr:rowOff>47625</xdr:rowOff>
    </xdr:from>
    <xdr:to>
      <xdr:col>17</xdr:col>
      <xdr:colOff>1341302</xdr:colOff>
      <xdr:row>27</xdr:row>
      <xdr:rowOff>1428750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50DAF21-0726-42CB-A888-7C62A4835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13335000"/>
          <a:ext cx="1303202" cy="1381125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190500</xdr:colOff>
      <xdr:row>23</xdr:row>
      <xdr:rowOff>190499</xdr:rowOff>
    </xdr:from>
    <xdr:to>
      <xdr:col>18</xdr:col>
      <xdr:colOff>129540</xdr:colOff>
      <xdr:row>24</xdr:row>
      <xdr:rowOff>91440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DADB3CE-F8A9-EAFD-5F86-1A8AA6F7F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99" t="9099" r="6960" b="4689"/>
        <a:stretch>
          <a:fillRect/>
        </a:stretch>
      </xdr:blipFill>
      <xdr:spPr>
        <a:xfrm>
          <a:off x="15796260" y="6652259"/>
          <a:ext cx="2971800" cy="1714501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190500</xdr:colOff>
      <xdr:row>23</xdr:row>
      <xdr:rowOff>190499</xdr:rowOff>
    </xdr:from>
    <xdr:to>
      <xdr:col>18</xdr:col>
      <xdr:colOff>129540</xdr:colOff>
      <xdr:row>24</xdr:row>
      <xdr:rowOff>91440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C0431C2-2322-2730-AF66-90851A4A57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99" t="9099" r="6960" b="4689"/>
        <a:stretch>
          <a:fillRect/>
        </a:stretch>
      </xdr:blipFill>
      <xdr:spPr>
        <a:xfrm>
          <a:off x="15796260" y="6652259"/>
          <a:ext cx="2971800" cy="171450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37</xdr:row>
      <xdr:rowOff>38100</xdr:rowOff>
    </xdr:from>
    <xdr:to>
      <xdr:col>1</xdr:col>
      <xdr:colOff>2499856</xdr:colOff>
      <xdr:row>37</xdr:row>
      <xdr:rowOff>4152900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CA605A-7BFA-4C27-ACF2-90DF4CC64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4" r="21733"/>
        <a:stretch>
          <a:fillRect/>
        </a:stretch>
      </xdr:blipFill>
      <xdr:spPr>
        <a:xfrm>
          <a:off x="895349" y="7200900"/>
          <a:ext cx="2366507" cy="41148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38</xdr:row>
      <xdr:rowOff>66675</xdr:rowOff>
    </xdr:from>
    <xdr:to>
      <xdr:col>1</xdr:col>
      <xdr:colOff>3124200</xdr:colOff>
      <xdr:row>38</xdr:row>
      <xdr:rowOff>4114800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7592FB0-CEFF-B8D4-7414-6C0287D483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37" t="909" r="12954" b="2499"/>
        <a:stretch>
          <a:fillRect/>
        </a:stretch>
      </xdr:blipFill>
      <xdr:spPr>
        <a:xfrm>
          <a:off x="809625" y="11410950"/>
          <a:ext cx="3076575" cy="40481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476249</xdr:colOff>
      <xdr:row>36</xdr:row>
      <xdr:rowOff>9525</xdr:rowOff>
    </xdr:from>
    <xdr:to>
      <xdr:col>1</xdr:col>
      <xdr:colOff>2200274</xdr:colOff>
      <xdr:row>36</xdr:row>
      <xdr:rowOff>4217315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384E9FE-25FE-A802-692A-30FC7EBFD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30" t="15508" r="43179" b="7487"/>
        <a:stretch>
          <a:fillRect/>
        </a:stretch>
      </xdr:blipFill>
      <xdr:spPr>
        <a:xfrm>
          <a:off x="1238249" y="6981825"/>
          <a:ext cx="1724025" cy="420779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295274</xdr:colOff>
      <xdr:row>40</xdr:row>
      <xdr:rowOff>0</xdr:rowOff>
    </xdr:from>
    <xdr:to>
      <xdr:col>1</xdr:col>
      <xdr:colOff>1854769</xdr:colOff>
      <xdr:row>40</xdr:row>
      <xdr:rowOff>3924300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54042D2-5B1B-6E6A-5B52-D010F7D397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t="9091" r="43628" b="8824"/>
        <a:stretch>
          <a:fillRect/>
        </a:stretch>
      </xdr:blipFill>
      <xdr:spPr>
        <a:xfrm>
          <a:off x="1057274" y="23631525"/>
          <a:ext cx="1559495" cy="39243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41</xdr:row>
      <xdr:rowOff>57150</xdr:rowOff>
    </xdr:from>
    <xdr:to>
      <xdr:col>1</xdr:col>
      <xdr:colOff>2457451</xdr:colOff>
      <xdr:row>41</xdr:row>
      <xdr:rowOff>3937810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D338D8E0-8E29-A049-09DF-E02AC7F12F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82" t="7754" r="35532" b="6952"/>
        <a:stretch>
          <a:fillRect/>
        </a:stretch>
      </xdr:blipFill>
      <xdr:spPr>
        <a:xfrm>
          <a:off x="981075" y="27651075"/>
          <a:ext cx="2238376" cy="3880660"/>
        </a:xfrm>
        <a:prstGeom prst="rect">
          <a:avLst/>
        </a:prstGeom>
      </xdr:spPr>
    </xdr:pic>
    <xdr:clientData/>
  </xdr:twoCellAnchor>
  <xdr:twoCellAnchor editAs="oneCell">
    <xdr:from>
      <xdr:col>0</xdr:col>
      <xdr:colOff>742949</xdr:colOff>
      <xdr:row>41</xdr:row>
      <xdr:rowOff>4021164</xdr:rowOff>
    </xdr:from>
    <xdr:to>
      <xdr:col>1</xdr:col>
      <xdr:colOff>3000374</xdr:colOff>
      <xdr:row>43</xdr:row>
      <xdr:rowOff>28575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2993C29D-9EDE-75BA-9B7A-11A8F38FB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34" t="8556" r="32384" b="5883"/>
        <a:stretch>
          <a:fillRect/>
        </a:stretch>
      </xdr:blipFill>
      <xdr:spPr>
        <a:xfrm>
          <a:off x="742949" y="31615089"/>
          <a:ext cx="3019425" cy="409413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39</xdr:row>
      <xdr:rowOff>342900</xdr:rowOff>
    </xdr:from>
    <xdr:to>
      <xdr:col>1</xdr:col>
      <xdr:colOff>3219450</xdr:colOff>
      <xdr:row>39</xdr:row>
      <xdr:rowOff>3609976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C10FDB0-1C7E-ADCF-DD54-E006544A32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82" t="14661" r="19781" b="10285"/>
        <a:stretch>
          <a:fillRect/>
        </a:stretch>
      </xdr:blipFill>
      <xdr:spPr>
        <a:xfrm>
          <a:off x="781050" y="19888200"/>
          <a:ext cx="3200400" cy="3267076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43</xdr:row>
      <xdr:rowOff>361950</xdr:rowOff>
    </xdr:from>
    <xdr:to>
      <xdr:col>1</xdr:col>
      <xdr:colOff>3105149</xdr:colOff>
      <xdr:row>43</xdr:row>
      <xdr:rowOff>3581400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82458D8-4C7F-D44E-F874-7AEA47810A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62" t="15098" r="21978" b="10941"/>
        <a:stretch>
          <a:fillRect/>
        </a:stretch>
      </xdr:blipFill>
      <xdr:spPr>
        <a:xfrm>
          <a:off x="904875" y="36042600"/>
          <a:ext cx="2962274" cy="3219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609600</xdr:colOff>
      <xdr:row>12</xdr:row>
      <xdr:rowOff>19050</xdr:rowOff>
    </xdr:from>
    <xdr:to>
      <xdr:col>21</xdr:col>
      <xdr:colOff>91440</xdr:colOff>
      <xdr:row>17</xdr:row>
      <xdr:rowOff>125730</xdr:rowOff>
    </xdr:to>
    <xdr:sp macro="" textlink="">
      <xdr:nvSpPr>
        <xdr:cNvPr id="4" name="ZoneText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FDE74E-989F-4AF2-A345-8978B8D20AFB}"/>
            </a:ext>
          </a:extLst>
        </xdr:cNvPr>
        <xdr:cNvSpPr txBox="1"/>
      </xdr:nvSpPr>
      <xdr:spPr>
        <a:xfrm>
          <a:off x="13563600" y="2486025"/>
          <a:ext cx="2529840" cy="1059180"/>
        </a:xfrm>
        <a:prstGeom prst="roundRect">
          <a:avLst/>
        </a:prstGeom>
        <a:solidFill>
          <a:srgbClr val="AB9A85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Etagère</a:t>
          </a:r>
        </a:p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Basile</a:t>
          </a:r>
        </a:p>
      </xdr:txBody>
    </xdr:sp>
    <xdr:clientData/>
  </xdr:twoCellAnchor>
  <xdr:twoCellAnchor>
    <xdr:from>
      <xdr:col>9</xdr:col>
      <xdr:colOff>121920</xdr:colOff>
      <xdr:row>12</xdr:row>
      <xdr:rowOff>24765</xdr:rowOff>
    </xdr:from>
    <xdr:to>
      <xdr:col>12</xdr:col>
      <xdr:colOff>350520</xdr:colOff>
      <xdr:row>17</xdr:row>
      <xdr:rowOff>139065</xdr:rowOff>
    </xdr:to>
    <xdr:sp macro="" textlink="">
      <xdr:nvSpPr>
        <xdr:cNvPr id="8" name="ZoneText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4D149C-758D-48B3-9756-5807BBB92CD3}"/>
            </a:ext>
          </a:extLst>
        </xdr:cNvPr>
        <xdr:cNvSpPr txBox="1"/>
      </xdr:nvSpPr>
      <xdr:spPr>
        <a:xfrm>
          <a:off x="6979920" y="2491740"/>
          <a:ext cx="2514600" cy="1066800"/>
        </a:xfrm>
        <a:prstGeom prst="roundRect">
          <a:avLst/>
        </a:prstGeom>
        <a:solidFill>
          <a:srgbClr val="AB9A85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Lit</a:t>
          </a:r>
          <a:r>
            <a:rPr lang="fr-BE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Cabane</a:t>
          </a:r>
        </a:p>
      </xdr:txBody>
    </xdr:sp>
    <xdr:clientData/>
  </xdr:twoCellAnchor>
  <xdr:twoCellAnchor>
    <xdr:from>
      <xdr:col>13</xdr:col>
      <xdr:colOff>361950</xdr:colOff>
      <xdr:row>12</xdr:row>
      <xdr:rowOff>24765</xdr:rowOff>
    </xdr:from>
    <xdr:to>
      <xdr:col>16</xdr:col>
      <xdr:colOff>609600</xdr:colOff>
      <xdr:row>17</xdr:row>
      <xdr:rowOff>139065</xdr:rowOff>
    </xdr:to>
    <xdr:sp macro="" textlink="">
      <xdr:nvSpPr>
        <xdr:cNvPr id="9" name="ZoneTexte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67B0F3-780B-48F3-9997-8FA7B85FCDB9}"/>
            </a:ext>
          </a:extLst>
        </xdr:cNvPr>
        <xdr:cNvSpPr txBox="1"/>
      </xdr:nvSpPr>
      <xdr:spPr>
        <a:xfrm>
          <a:off x="10267950" y="2491740"/>
          <a:ext cx="2533650" cy="1066800"/>
        </a:xfrm>
        <a:prstGeom prst="roundRect">
          <a:avLst/>
        </a:prstGeom>
        <a:solidFill>
          <a:srgbClr val="AB9A85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Collection</a:t>
          </a:r>
        </a:p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Asymetry</a:t>
          </a:r>
        </a:p>
      </xdr:txBody>
    </xdr:sp>
    <xdr:clientData/>
  </xdr:twoCellAnchor>
  <xdr:twoCellAnchor>
    <xdr:from>
      <xdr:col>13</xdr:col>
      <xdr:colOff>695325</xdr:colOff>
      <xdr:row>1</xdr:row>
      <xdr:rowOff>85725</xdr:rowOff>
    </xdr:from>
    <xdr:to>
      <xdr:col>15</xdr:col>
      <xdr:colOff>390525</xdr:colOff>
      <xdr:row>3</xdr:row>
      <xdr:rowOff>43815</xdr:rowOff>
    </xdr:to>
    <xdr:sp macro="" textlink="">
      <xdr:nvSpPr>
        <xdr:cNvPr id="22" name="Rectangle : coins arrondis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DAFE01-FA21-4944-905E-7499A0E06382}"/>
            </a:ext>
          </a:extLst>
        </xdr:cNvPr>
        <xdr:cNvSpPr/>
      </xdr:nvSpPr>
      <xdr:spPr>
        <a:xfrm>
          <a:off x="10601325" y="276225"/>
          <a:ext cx="1219200" cy="339090"/>
        </a:xfrm>
        <a:prstGeom prst="roundRect">
          <a:avLst/>
        </a:prstGeom>
        <a:solidFill>
          <a:srgbClr val="AB9A8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500" baseline="0">
              <a:latin typeface="Calibri" panose="020F0502020204030204" pitchFamily="34" charset="0"/>
            </a:rPr>
            <a:t>Retour </a:t>
          </a:r>
        </a:p>
      </xdr:txBody>
    </xdr:sp>
    <xdr:clientData/>
  </xdr:twoCellAnchor>
  <xdr:twoCellAnchor editAs="oneCell">
    <xdr:from>
      <xdr:col>17</xdr:col>
      <xdr:colOff>523875</xdr:colOff>
      <xdr:row>21</xdr:row>
      <xdr:rowOff>38100</xdr:rowOff>
    </xdr:from>
    <xdr:to>
      <xdr:col>21</xdr:col>
      <xdr:colOff>164332</xdr:colOff>
      <xdr:row>36</xdr:row>
      <xdr:rowOff>85725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7FC989EF-CC1B-807C-6F2D-430F4EC76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7875" y="4219575"/>
          <a:ext cx="2688457" cy="2905125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114302</xdr:colOff>
      <xdr:row>19</xdr:row>
      <xdr:rowOff>57150</xdr:rowOff>
    </xdr:from>
    <xdr:to>
      <xdr:col>12</xdr:col>
      <xdr:colOff>668932</xdr:colOff>
      <xdr:row>37</xdr:row>
      <xdr:rowOff>163334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87B78287-4B74-F138-7552-F22D9DDDF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14" r="1691"/>
        <a:stretch>
          <a:fillRect/>
        </a:stretch>
      </xdr:blipFill>
      <xdr:spPr>
        <a:xfrm>
          <a:off x="6210302" y="3857625"/>
          <a:ext cx="3602630" cy="3535184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</xdr:colOff>
      <xdr:row>19</xdr:row>
      <xdr:rowOff>166788</xdr:rowOff>
    </xdr:from>
    <xdr:to>
      <xdr:col>17</xdr:col>
      <xdr:colOff>361950</xdr:colOff>
      <xdr:row>38</xdr:row>
      <xdr:rowOff>151995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95175BC3-4BC6-F888-14CD-77FA26FD5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720" y="3967263"/>
          <a:ext cx="3364230" cy="3604707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18</xdr:row>
      <xdr:rowOff>95250</xdr:rowOff>
    </xdr:from>
    <xdr:to>
      <xdr:col>4</xdr:col>
      <xdr:colOff>158115</xdr:colOff>
      <xdr:row>35</xdr:row>
      <xdr:rowOff>139728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F4B96E7-BD53-40F9-9611-4EE4BEF2C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705225"/>
          <a:ext cx="3025140" cy="3282978"/>
        </a:xfrm>
        <a:prstGeom prst="rect">
          <a:avLst/>
        </a:prstGeom>
      </xdr:spPr>
    </xdr:pic>
    <xdr:clientData/>
  </xdr:twoCellAnchor>
  <xdr:twoCellAnchor editAs="oneCell">
    <xdr:from>
      <xdr:col>0</xdr:col>
      <xdr:colOff>186691</xdr:colOff>
      <xdr:row>0</xdr:row>
      <xdr:rowOff>107124</xdr:rowOff>
    </xdr:from>
    <xdr:to>
      <xdr:col>5</xdr:col>
      <xdr:colOff>352426</xdr:colOff>
      <xdr:row>5</xdr:row>
      <xdr:rowOff>152399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AE54920-E3BE-82CB-6592-1356507AC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1" y="107124"/>
          <a:ext cx="4070985" cy="950150"/>
        </a:xfrm>
        <a:prstGeom prst="rect">
          <a:avLst/>
        </a:prstGeom>
      </xdr:spPr>
    </xdr:pic>
    <xdr:clientData/>
  </xdr:twoCellAnchor>
  <xdr:twoCellAnchor>
    <xdr:from>
      <xdr:col>4</xdr:col>
      <xdr:colOff>638175</xdr:colOff>
      <xdr:row>12</xdr:row>
      <xdr:rowOff>28575</xdr:rowOff>
    </xdr:from>
    <xdr:to>
      <xdr:col>8</xdr:col>
      <xdr:colOff>104775</xdr:colOff>
      <xdr:row>17</xdr:row>
      <xdr:rowOff>142875</xdr:rowOff>
    </xdr:to>
    <xdr:sp macro="" textlink="">
      <xdr:nvSpPr>
        <xdr:cNvPr id="3" name="ZoneText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5D0CF95-F9B2-474C-A09D-3EB10EDBC423}"/>
            </a:ext>
          </a:extLst>
        </xdr:cNvPr>
        <xdr:cNvSpPr txBox="1"/>
      </xdr:nvSpPr>
      <xdr:spPr>
        <a:xfrm>
          <a:off x="3686175" y="2495550"/>
          <a:ext cx="2514600" cy="1066800"/>
        </a:xfrm>
        <a:prstGeom prst="roundRect">
          <a:avLst/>
        </a:prstGeom>
        <a:solidFill>
          <a:srgbClr val="AB9A85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Bureau</a:t>
          </a:r>
        </a:p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Madaket</a:t>
          </a:r>
        </a:p>
      </xdr:txBody>
    </xdr:sp>
    <xdr:clientData/>
  </xdr:twoCellAnchor>
  <xdr:twoCellAnchor editAs="oneCell">
    <xdr:from>
      <xdr:col>4</xdr:col>
      <xdr:colOff>514351</xdr:colOff>
      <xdr:row>24</xdr:row>
      <xdr:rowOff>171450</xdr:rowOff>
    </xdr:from>
    <xdr:to>
      <xdr:col>7</xdr:col>
      <xdr:colOff>670566</xdr:colOff>
      <xdr:row>34</xdr:row>
      <xdr:rowOff>142874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5490650B-DDF5-19DC-EF6E-F6D3B4667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1" y="4924425"/>
          <a:ext cx="2442215" cy="1876424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12</xdr:row>
      <xdr:rowOff>28575</xdr:rowOff>
    </xdr:from>
    <xdr:to>
      <xdr:col>3</xdr:col>
      <xdr:colOff>609600</xdr:colOff>
      <xdr:row>17</xdr:row>
      <xdr:rowOff>142875</xdr:rowOff>
    </xdr:to>
    <xdr:sp macro="" textlink="">
      <xdr:nvSpPr>
        <xdr:cNvPr id="10" name="ZoneTexte 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FF605AE-2E38-4E63-AB62-795D4C4D68E8}"/>
            </a:ext>
          </a:extLst>
        </xdr:cNvPr>
        <xdr:cNvSpPr txBox="1"/>
      </xdr:nvSpPr>
      <xdr:spPr>
        <a:xfrm>
          <a:off x="381000" y="2495550"/>
          <a:ext cx="2514600" cy="1066800"/>
        </a:xfrm>
        <a:prstGeom prst="roundRect">
          <a:avLst/>
        </a:prstGeom>
        <a:solidFill>
          <a:srgbClr val="AB9A85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Armoire</a:t>
          </a:r>
        </a:p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Madavin / Madaket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93345</xdr:colOff>
      <xdr:row>12</xdr:row>
      <xdr:rowOff>24765</xdr:rowOff>
    </xdr:from>
    <xdr:to>
      <xdr:col>12</xdr:col>
      <xdr:colOff>340995</xdr:colOff>
      <xdr:row>17</xdr:row>
      <xdr:rowOff>139065</xdr:rowOff>
    </xdr:to>
    <xdr:sp macro="" textlink="">
      <xdr:nvSpPr>
        <xdr:cNvPr id="5" name="ZoneText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1B1EFD-5A8E-43FD-BA5A-3239A705DA2C}"/>
            </a:ext>
          </a:extLst>
        </xdr:cNvPr>
        <xdr:cNvSpPr txBox="1"/>
      </xdr:nvSpPr>
      <xdr:spPr>
        <a:xfrm>
          <a:off x="6951345" y="2491740"/>
          <a:ext cx="2533650" cy="1066800"/>
        </a:xfrm>
        <a:prstGeom prst="roundRect">
          <a:avLst/>
        </a:prstGeom>
        <a:solidFill>
          <a:srgbClr val="AB9A85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Treehouse Bed </a:t>
          </a:r>
        </a:p>
      </xdr:txBody>
    </xdr:sp>
    <xdr:clientData fLocksWithSheet="0"/>
  </xdr:twoCellAnchor>
  <xdr:twoCellAnchor>
    <xdr:from>
      <xdr:col>13</xdr:col>
      <xdr:colOff>352425</xdr:colOff>
      <xdr:row>12</xdr:row>
      <xdr:rowOff>24765</xdr:rowOff>
    </xdr:from>
    <xdr:to>
      <xdr:col>16</xdr:col>
      <xdr:colOff>581025</xdr:colOff>
      <xdr:row>17</xdr:row>
      <xdr:rowOff>139065</xdr:rowOff>
    </xdr:to>
    <xdr:sp macro="" textlink="">
      <xdr:nvSpPr>
        <xdr:cNvPr id="6" name="ZoneText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BC327A-D14A-4C1C-9704-9BB716DC2924}"/>
            </a:ext>
          </a:extLst>
        </xdr:cNvPr>
        <xdr:cNvSpPr txBox="1"/>
      </xdr:nvSpPr>
      <xdr:spPr>
        <a:xfrm>
          <a:off x="10258425" y="2491740"/>
          <a:ext cx="2514600" cy="1066800"/>
        </a:xfrm>
        <a:prstGeom prst="roundRect">
          <a:avLst/>
        </a:prstGeom>
        <a:solidFill>
          <a:srgbClr val="AB9A85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Asymetry's</a:t>
          </a:r>
        </a:p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Collection </a:t>
          </a:r>
        </a:p>
      </xdr:txBody>
    </xdr:sp>
    <xdr:clientData fLocksWithSheet="0"/>
  </xdr:twoCellAnchor>
  <xdr:twoCellAnchor>
    <xdr:from>
      <xdr:col>14</xdr:col>
      <xdr:colOff>66675</xdr:colOff>
      <xdr:row>2</xdr:row>
      <xdr:rowOff>104775</xdr:rowOff>
    </xdr:from>
    <xdr:to>
      <xdr:col>15</xdr:col>
      <xdr:colOff>523875</xdr:colOff>
      <xdr:row>4</xdr:row>
      <xdr:rowOff>62865</xdr:rowOff>
    </xdr:to>
    <xdr:sp macro="" textlink="">
      <xdr:nvSpPr>
        <xdr:cNvPr id="14" name="Rectangle : coins arrondis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52D798-A049-463B-B4CB-C3ECDCEB97F8}"/>
            </a:ext>
          </a:extLst>
        </xdr:cNvPr>
        <xdr:cNvSpPr/>
      </xdr:nvSpPr>
      <xdr:spPr>
        <a:xfrm>
          <a:off x="10734675" y="485775"/>
          <a:ext cx="1219200" cy="339090"/>
        </a:xfrm>
        <a:prstGeom prst="roundRect">
          <a:avLst/>
        </a:prstGeom>
        <a:solidFill>
          <a:srgbClr val="AB9A8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500" baseline="0">
              <a:latin typeface="Calibri" panose="020F0502020204030204" pitchFamily="34" charset="0"/>
            </a:rPr>
            <a:t>Back </a:t>
          </a:r>
        </a:p>
      </xdr:txBody>
    </xdr:sp>
    <xdr:clientData fLocksWithSheet="0"/>
  </xdr:twoCellAnchor>
  <xdr:twoCellAnchor editAs="oneCell">
    <xdr:from>
      <xdr:col>17</xdr:col>
      <xdr:colOff>533400</xdr:colOff>
      <xdr:row>20</xdr:row>
      <xdr:rowOff>133350</xdr:rowOff>
    </xdr:from>
    <xdr:to>
      <xdr:col>21</xdr:col>
      <xdr:colOff>154807</xdr:colOff>
      <xdr:row>36</xdr:row>
      <xdr:rowOff>5715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BCBB0A84-37F1-4A6C-85B3-B09ABA2B7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0" y="4124325"/>
          <a:ext cx="2669407" cy="2920365"/>
        </a:xfrm>
        <a:prstGeom prst="rect">
          <a:avLst/>
        </a:prstGeom>
      </xdr:spPr>
    </xdr:pic>
    <xdr:clientData/>
  </xdr:twoCellAnchor>
  <xdr:twoCellAnchor editAs="oneCell">
    <xdr:from>
      <xdr:col>8</xdr:col>
      <xdr:colOff>205741</xdr:colOff>
      <xdr:row>18</xdr:row>
      <xdr:rowOff>104775</xdr:rowOff>
    </xdr:from>
    <xdr:to>
      <xdr:col>13</xdr:col>
      <xdr:colOff>165170</xdr:colOff>
      <xdr:row>38</xdr:row>
      <xdr:rowOff>20461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B60E1D29-C218-48DA-83B4-80D5206656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53" r="1667"/>
        <a:stretch>
          <a:fillRect/>
        </a:stretch>
      </xdr:blipFill>
      <xdr:spPr>
        <a:xfrm>
          <a:off x="6301741" y="3714750"/>
          <a:ext cx="3769429" cy="3725686"/>
        </a:xfrm>
        <a:prstGeom prst="rect">
          <a:avLst/>
        </a:prstGeom>
      </xdr:spPr>
    </xdr:pic>
    <xdr:clientData/>
  </xdr:twoCellAnchor>
  <xdr:twoCellAnchor editAs="oneCell">
    <xdr:from>
      <xdr:col>13</xdr:col>
      <xdr:colOff>180975</xdr:colOff>
      <xdr:row>19</xdr:row>
      <xdr:rowOff>46064</xdr:rowOff>
    </xdr:from>
    <xdr:to>
      <xdr:col>17</xdr:col>
      <xdr:colOff>466725</xdr:colOff>
      <xdr:row>38</xdr:row>
      <xdr:rowOff>7216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BFA42A96-C9B1-4208-A05B-52F1B8D4C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6975" y="3846539"/>
          <a:ext cx="3333750" cy="358065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18</xdr:row>
      <xdr:rowOff>65537</xdr:rowOff>
    </xdr:from>
    <xdr:to>
      <xdr:col>3</xdr:col>
      <xdr:colOff>723900</xdr:colOff>
      <xdr:row>34</xdr:row>
      <xdr:rowOff>130203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821B67E-EF36-433A-8507-E9B4DBBEC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675512"/>
          <a:ext cx="2876550" cy="311266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133350</xdr:rowOff>
    </xdr:from>
    <xdr:to>
      <xdr:col>5</xdr:col>
      <xdr:colOff>438150</xdr:colOff>
      <xdr:row>6</xdr:row>
      <xdr:rowOff>1460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0297DFE-EAAC-412E-B1A2-1215666E6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33350"/>
          <a:ext cx="4076700" cy="953960"/>
        </a:xfrm>
        <a:prstGeom prst="rect">
          <a:avLst/>
        </a:prstGeom>
      </xdr:spPr>
    </xdr:pic>
    <xdr:clientData/>
  </xdr:twoCellAnchor>
  <xdr:twoCellAnchor editAs="oneCell">
    <xdr:from>
      <xdr:col>4</xdr:col>
      <xdr:colOff>581025</xdr:colOff>
      <xdr:row>24</xdr:row>
      <xdr:rowOff>47625</xdr:rowOff>
    </xdr:from>
    <xdr:to>
      <xdr:col>7</xdr:col>
      <xdr:colOff>737240</xdr:colOff>
      <xdr:row>34</xdr:row>
      <xdr:rowOff>19049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C72E2F3-B070-448F-8A7D-77A16A916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4800600"/>
          <a:ext cx="2442215" cy="1876424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12</xdr:row>
      <xdr:rowOff>28575</xdr:rowOff>
    </xdr:from>
    <xdr:to>
      <xdr:col>3</xdr:col>
      <xdr:colOff>573404</xdr:colOff>
      <xdr:row>17</xdr:row>
      <xdr:rowOff>142875</xdr:rowOff>
    </xdr:to>
    <xdr:sp macro="" textlink="">
      <xdr:nvSpPr>
        <xdr:cNvPr id="2" name="ZoneTexte 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E1F06C7-F364-4599-8FBF-9622672C95C1}"/>
            </a:ext>
          </a:extLst>
        </xdr:cNvPr>
        <xdr:cNvSpPr txBox="1"/>
      </xdr:nvSpPr>
      <xdr:spPr>
        <a:xfrm>
          <a:off x="295275" y="2495550"/>
          <a:ext cx="2564129" cy="1066800"/>
        </a:xfrm>
        <a:prstGeom prst="roundRect">
          <a:avLst/>
        </a:prstGeom>
        <a:solidFill>
          <a:srgbClr val="AB9A85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fr-BE" sz="14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Madavin</a:t>
          </a:r>
          <a:r>
            <a:rPr lang="fr-BE" sz="15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/ </a:t>
          </a:r>
          <a:r>
            <a:rPr lang="fr-BE" sz="15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Madaket's</a:t>
          </a:r>
        </a:p>
        <a:p>
          <a:pPr algn="ctr"/>
          <a:r>
            <a:rPr lang="fr-BE" sz="15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Wardrobe </a:t>
          </a:r>
        </a:p>
      </xdr:txBody>
    </xdr:sp>
    <xdr:clientData fLocksWithSheet="0"/>
  </xdr:twoCellAnchor>
  <xdr:twoCellAnchor>
    <xdr:from>
      <xdr:col>17</xdr:col>
      <xdr:colOff>590550</xdr:colOff>
      <xdr:row>12</xdr:row>
      <xdr:rowOff>28575</xdr:rowOff>
    </xdr:from>
    <xdr:to>
      <xdr:col>21</xdr:col>
      <xdr:colOff>72390</xdr:colOff>
      <xdr:row>17</xdr:row>
      <xdr:rowOff>135255</xdr:rowOff>
    </xdr:to>
    <xdr:sp macro="" textlink="">
      <xdr:nvSpPr>
        <xdr:cNvPr id="10" name="ZoneTexte 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14F0B54-10E4-466C-AF7D-70790ADEF5D3}"/>
            </a:ext>
          </a:extLst>
        </xdr:cNvPr>
        <xdr:cNvSpPr txBox="1"/>
      </xdr:nvSpPr>
      <xdr:spPr>
        <a:xfrm>
          <a:off x="13544550" y="2495550"/>
          <a:ext cx="2529840" cy="1059180"/>
        </a:xfrm>
        <a:prstGeom prst="roundRect">
          <a:avLst/>
        </a:prstGeom>
        <a:solidFill>
          <a:srgbClr val="AB9A85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Basile's</a:t>
          </a:r>
        </a:p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Shelf</a:t>
          </a:r>
          <a:endParaRPr lang="fr-BE" sz="16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 fLocksWithSheet="0"/>
  </xdr:twoCellAnchor>
  <xdr:twoCellAnchor>
    <xdr:from>
      <xdr:col>4</xdr:col>
      <xdr:colOff>571500</xdr:colOff>
      <xdr:row>12</xdr:row>
      <xdr:rowOff>28575</xdr:rowOff>
    </xdr:from>
    <xdr:to>
      <xdr:col>8</xdr:col>
      <xdr:colOff>87629</xdr:colOff>
      <xdr:row>17</xdr:row>
      <xdr:rowOff>142875</xdr:rowOff>
    </xdr:to>
    <xdr:sp macro="" textlink="">
      <xdr:nvSpPr>
        <xdr:cNvPr id="16" name="ZoneTexte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6E3403B-C404-4F54-A645-7D6A1C9BFBB2}"/>
            </a:ext>
          </a:extLst>
        </xdr:cNvPr>
        <xdr:cNvSpPr txBox="1"/>
      </xdr:nvSpPr>
      <xdr:spPr>
        <a:xfrm>
          <a:off x="3619500" y="2495550"/>
          <a:ext cx="2564129" cy="1066800"/>
        </a:xfrm>
        <a:prstGeom prst="roundRect">
          <a:avLst/>
        </a:prstGeom>
        <a:solidFill>
          <a:srgbClr val="AB9A85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Madaket's</a:t>
          </a:r>
        </a:p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Desk    </a:t>
          </a:r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102870</xdr:colOff>
      <xdr:row>12</xdr:row>
      <xdr:rowOff>24765</xdr:rowOff>
    </xdr:from>
    <xdr:to>
      <xdr:col>12</xdr:col>
      <xdr:colOff>350520</xdr:colOff>
      <xdr:row>17</xdr:row>
      <xdr:rowOff>139065</xdr:rowOff>
    </xdr:to>
    <xdr:sp macro="" textlink="">
      <xdr:nvSpPr>
        <xdr:cNvPr id="5" name="ZoneText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48E822-9C6C-41B7-B2AE-4EF05F4386FC}"/>
            </a:ext>
          </a:extLst>
        </xdr:cNvPr>
        <xdr:cNvSpPr txBox="1"/>
      </xdr:nvSpPr>
      <xdr:spPr>
        <a:xfrm>
          <a:off x="6960870" y="2491740"/>
          <a:ext cx="2533650" cy="1066800"/>
        </a:xfrm>
        <a:prstGeom prst="roundRect">
          <a:avLst/>
        </a:prstGeom>
        <a:solidFill>
          <a:srgbClr val="AB9A85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Boomhut Bed</a:t>
          </a:r>
        </a:p>
      </xdr:txBody>
    </xdr:sp>
    <xdr:clientData fLocksWithSheet="0"/>
  </xdr:twoCellAnchor>
  <xdr:twoCellAnchor>
    <xdr:from>
      <xdr:col>13</xdr:col>
      <xdr:colOff>352425</xdr:colOff>
      <xdr:row>12</xdr:row>
      <xdr:rowOff>24765</xdr:rowOff>
    </xdr:from>
    <xdr:to>
      <xdr:col>16</xdr:col>
      <xdr:colOff>581025</xdr:colOff>
      <xdr:row>17</xdr:row>
      <xdr:rowOff>148590</xdr:rowOff>
    </xdr:to>
    <xdr:sp macro="" textlink="">
      <xdr:nvSpPr>
        <xdr:cNvPr id="6" name="ZoneText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595189-109B-4A79-9D3C-FFFA03F28A37}"/>
            </a:ext>
          </a:extLst>
        </xdr:cNvPr>
        <xdr:cNvSpPr txBox="1"/>
      </xdr:nvSpPr>
      <xdr:spPr>
        <a:xfrm>
          <a:off x="10258425" y="2491740"/>
          <a:ext cx="2514600" cy="1076325"/>
        </a:xfrm>
        <a:prstGeom prst="roundRect">
          <a:avLst/>
        </a:prstGeom>
        <a:solidFill>
          <a:srgbClr val="AB9A85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Asymmetry's</a:t>
          </a:r>
          <a:r>
            <a:rPr lang="fr-BE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collectie</a:t>
          </a:r>
        </a:p>
      </xdr:txBody>
    </xdr:sp>
    <xdr:clientData fLocksWithSheet="0"/>
  </xdr:twoCellAnchor>
  <xdr:twoCellAnchor>
    <xdr:from>
      <xdr:col>14</xdr:col>
      <xdr:colOff>114300</xdr:colOff>
      <xdr:row>1</xdr:row>
      <xdr:rowOff>171450</xdr:rowOff>
    </xdr:from>
    <xdr:to>
      <xdr:col>15</xdr:col>
      <xdr:colOff>571500</xdr:colOff>
      <xdr:row>3</xdr:row>
      <xdr:rowOff>129540</xdr:rowOff>
    </xdr:to>
    <xdr:sp macro="" textlink="">
      <xdr:nvSpPr>
        <xdr:cNvPr id="11" name="Rectangle : coins arrondi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1E2869-6AEA-4441-969B-4397C259AED2}"/>
            </a:ext>
          </a:extLst>
        </xdr:cNvPr>
        <xdr:cNvSpPr/>
      </xdr:nvSpPr>
      <xdr:spPr>
        <a:xfrm>
          <a:off x="10782300" y="361950"/>
          <a:ext cx="1219200" cy="339090"/>
        </a:xfrm>
        <a:prstGeom prst="roundRect">
          <a:avLst/>
        </a:prstGeom>
        <a:solidFill>
          <a:srgbClr val="AB9A8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500" baseline="0">
              <a:latin typeface="Calibri" panose="020F0502020204030204" pitchFamily="34" charset="0"/>
            </a:rPr>
            <a:t>Vorig </a:t>
          </a:r>
        </a:p>
      </xdr:txBody>
    </xdr:sp>
    <xdr:clientData fLocksWithSheet="0"/>
  </xdr:twoCellAnchor>
  <xdr:twoCellAnchor editAs="oneCell">
    <xdr:from>
      <xdr:col>17</xdr:col>
      <xdr:colOff>590550</xdr:colOff>
      <xdr:row>21</xdr:row>
      <xdr:rowOff>171450</xdr:rowOff>
    </xdr:from>
    <xdr:to>
      <xdr:col>21</xdr:col>
      <xdr:colOff>211957</xdr:colOff>
      <xdr:row>37</xdr:row>
      <xdr:rowOff>34290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60173D1-711C-47D5-BDE1-10E1F42B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4550" y="4352925"/>
          <a:ext cx="2669407" cy="2910840"/>
        </a:xfrm>
        <a:prstGeom prst="rect">
          <a:avLst/>
        </a:prstGeom>
      </xdr:spPr>
    </xdr:pic>
    <xdr:clientData/>
  </xdr:twoCellAnchor>
  <xdr:twoCellAnchor editAs="oneCell">
    <xdr:from>
      <xdr:col>8</xdr:col>
      <xdr:colOff>245744</xdr:colOff>
      <xdr:row>16</xdr:row>
      <xdr:rowOff>47625</xdr:rowOff>
    </xdr:from>
    <xdr:to>
      <xdr:col>13</xdr:col>
      <xdr:colOff>236539</xdr:colOff>
      <xdr:row>37</xdr:row>
      <xdr:rowOff>170954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6132B390-F264-4BE9-B413-C5A3DAD47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1744" y="3276600"/>
          <a:ext cx="3800795" cy="4123829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20</xdr:row>
      <xdr:rowOff>19050</xdr:rowOff>
    </xdr:from>
    <xdr:to>
      <xdr:col>17</xdr:col>
      <xdr:colOff>277725</xdr:colOff>
      <xdr:row>37</xdr:row>
      <xdr:rowOff>178665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36071278-7014-46EC-9090-C5CCFE9A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925" y="4010025"/>
          <a:ext cx="3163800" cy="339811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18</xdr:row>
      <xdr:rowOff>76200</xdr:rowOff>
    </xdr:from>
    <xdr:to>
      <xdr:col>3</xdr:col>
      <xdr:colOff>718157</xdr:colOff>
      <xdr:row>34</xdr:row>
      <xdr:rowOff>38100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11C01C4-360B-B2EE-44CA-A8998D81D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686175"/>
          <a:ext cx="2785082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85725</xdr:rowOff>
    </xdr:from>
    <xdr:to>
      <xdr:col>5</xdr:col>
      <xdr:colOff>304800</xdr:colOff>
      <xdr:row>5</xdr:row>
      <xdr:rowOff>132905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01359E9-C714-450D-82DC-C066225B9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725"/>
          <a:ext cx="4076700" cy="952055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23</xdr:row>
      <xdr:rowOff>180975</xdr:rowOff>
    </xdr:from>
    <xdr:to>
      <xdr:col>7</xdr:col>
      <xdr:colOff>651515</xdr:colOff>
      <xdr:row>33</xdr:row>
      <xdr:rowOff>152399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2D7FFD21-A94D-4BB5-ADC8-FFF86BB53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4743450"/>
          <a:ext cx="2442215" cy="1876424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12</xdr:row>
      <xdr:rowOff>28575</xdr:rowOff>
    </xdr:from>
    <xdr:to>
      <xdr:col>3</xdr:col>
      <xdr:colOff>563879</xdr:colOff>
      <xdr:row>17</xdr:row>
      <xdr:rowOff>142875</xdr:rowOff>
    </xdr:to>
    <xdr:sp macro="" textlink="">
      <xdr:nvSpPr>
        <xdr:cNvPr id="2" name="ZoneTexte 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F02BF1D-AB7D-4591-B9A7-6E62260DB307}"/>
            </a:ext>
          </a:extLst>
        </xdr:cNvPr>
        <xdr:cNvSpPr txBox="1"/>
      </xdr:nvSpPr>
      <xdr:spPr>
        <a:xfrm>
          <a:off x="285750" y="2495550"/>
          <a:ext cx="2564129" cy="1066800"/>
        </a:xfrm>
        <a:prstGeom prst="roundRect">
          <a:avLst/>
        </a:prstGeom>
        <a:solidFill>
          <a:srgbClr val="AB9A85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Madavin's Garderobe</a:t>
          </a:r>
          <a:endParaRPr lang="fr-BE" sz="16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 fLocksWithSheet="0"/>
  </xdr:twoCellAnchor>
  <xdr:twoCellAnchor>
    <xdr:from>
      <xdr:col>17</xdr:col>
      <xdr:colOff>609600</xdr:colOff>
      <xdr:row>12</xdr:row>
      <xdr:rowOff>28575</xdr:rowOff>
    </xdr:from>
    <xdr:to>
      <xdr:col>21</xdr:col>
      <xdr:colOff>91440</xdr:colOff>
      <xdr:row>17</xdr:row>
      <xdr:rowOff>135255</xdr:rowOff>
    </xdr:to>
    <xdr:sp macro="" textlink="">
      <xdr:nvSpPr>
        <xdr:cNvPr id="13" name="ZoneTexte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89FD7FA-1CBE-44B7-BE6F-80F7F56F8486}"/>
            </a:ext>
          </a:extLst>
        </xdr:cNvPr>
        <xdr:cNvSpPr txBox="1"/>
      </xdr:nvSpPr>
      <xdr:spPr>
        <a:xfrm>
          <a:off x="13563600" y="2495550"/>
          <a:ext cx="2529840" cy="1059180"/>
        </a:xfrm>
        <a:prstGeom prst="roundRect">
          <a:avLst/>
        </a:prstGeom>
        <a:solidFill>
          <a:srgbClr val="AB9A85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Basile's </a:t>
          </a:r>
        </a:p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Plank</a:t>
          </a:r>
          <a:endParaRPr lang="fr-BE" sz="16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</xdr:txBody>
    </xdr:sp>
    <xdr:clientData fLocksWithSheet="0"/>
  </xdr:twoCellAnchor>
  <xdr:twoCellAnchor>
    <xdr:from>
      <xdr:col>4</xdr:col>
      <xdr:colOff>571500</xdr:colOff>
      <xdr:row>12</xdr:row>
      <xdr:rowOff>38100</xdr:rowOff>
    </xdr:from>
    <xdr:to>
      <xdr:col>8</xdr:col>
      <xdr:colOff>87629</xdr:colOff>
      <xdr:row>17</xdr:row>
      <xdr:rowOff>152400</xdr:rowOff>
    </xdr:to>
    <xdr:sp macro="" textlink="">
      <xdr:nvSpPr>
        <xdr:cNvPr id="16" name="ZoneTexte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0003BAC-2D8C-46C6-A4FB-D1B575F91FEF}"/>
            </a:ext>
          </a:extLst>
        </xdr:cNvPr>
        <xdr:cNvSpPr txBox="1"/>
      </xdr:nvSpPr>
      <xdr:spPr>
        <a:xfrm>
          <a:off x="3619500" y="2505075"/>
          <a:ext cx="2564129" cy="1066800"/>
        </a:xfrm>
        <a:prstGeom prst="roundRect">
          <a:avLst/>
        </a:prstGeom>
        <a:solidFill>
          <a:srgbClr val="AB9A85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Madaket's</a:t>
          </a:r>
          <a:endParaRPr lang="fr-BE" sz="1600" b="1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algn="ctr"/>
          <a:r>
            <a:rPr lang="fr-BE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Bureau</a:t>
          </a:r>
          <a:r>
            <a:rPr lang="fr-BE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28575</xdr:colOff>
      <xdr:row>22</xdr:row>
      <xdr:rowOff>3810</xdr:rowOff>
    </xdr:from>
    <xdr:to>
      <xdr:col>18</xdr:col>
      <xdr:colOff>28575</xdr:colOff>
      <xdr:row>23</xdr:row>
      <xdr:rowOff>118110</xdr:rowOff>
    </xdr:to>
    <xdr:sp macro="" textlink="">
      <xdr:nvSpPr>
        <xdr:cNvPr id="3" name="Rectangle : coins arrondi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26B6C6-66FB-4008-B1C8-D984C3018571}"/>
            </a:ext>
          </a:extLst>
        </xdr:cNvPr>
        <xdr:cNvSpPr/>
      </xdr:nvSpPr>
      <xdr:spPr>
        <a:xfrm>
          <a:off x="7219950" y="5105400"/>
          <a:ext cx="1219200" cy="339090"/>
        </a:xfrm>
        <a:prstGeom prst="roundRect">
          <a:avLst/>
        </a:prstGeom>
        <a:solidFill>
          <a:srgbClr val="AB9A8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500" baseline="0">
              <a:latin typeface="Calibri" panose="020F0502020204030204" pitchFamily="34" charset="0"/>
            </a:rPr>
            <a:t>Retour </a:t>
          </a: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19</xdr:row>
          <xdr:rowOff>66675</xdr:rowOff>
        </xdr:from>
        <xdr:to>
          <xdr:col>19</xdr:col>
          <xdr:colOff>19050</xdr:colOff>
          <xdr:row>21</xdr:row>
          <xdr:rowOff>104775</xdr:rowOff>
        </xdr:to>
        <xdr:sp macro="" textlink="">
          <xdr:nvSpPr>
            <xdr:cNvPr id="6149" name="Butto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Exporter la configuration en PDF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190500</xdr:colOff>
      <xdr:row>0</xdr:row>
      <xdr:rowOff>136838</xdr:rowOff>
    </xdr:from>
    <xdr:to>
      <xdr:col>2</xdr:col>
      <xdr:colOff>217170</xdr:colOff>
      <xdr:row>3</xdr:row>
      <xdr:rowOff>155764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1BA7A60-F021-4FC2-B346-7AC4663DF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6838"/>
          <a:ext cx="3131820" cy="733301"/>
        </a:xfrm>
        <a:prstGeom prst="rect">
          <a:avLst/>
        </a:prstGeom>
      </xdr:spPr>
    </xdr:pic>
    <xdr:clientData/>
  </xdr:twoCellAnchor>
  <xdr:twoCellAnchor editAs="oneCell">
    <xdr:from>
      <xdr:col>26</xdr:col>
      <xdr:colOff>462916</xdr:colOff>
      <xdr:row>2</xdr:row>
      <xdr:rowOff>144583</xdr:rowOff>
    </xdr:from>
    <xdr:to>
      <xdr:col>30</xdr:col>
      <xdr:colOff>726308</xdr:colOff>
      <xdr:row>19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78D211D-C7BA-42A7-8E2D-58C15B222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3391" y="687508"/>
          <a:ext cx="3816217" cy="38444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22</xdr:row>
      <xdr:rowOff>9525</xdr:rowOff>
    </xdr:from>
    <xdr:to>
      <xdr:col>18</xdr:col>
      <xdr:colOff>19050</xdr:colOff>
      <xdr:row>23</xdr:row>
      <xdr:rowOff>120015</xdr:rowOff>
    </xdr:to>
    <xdr:sp macro="" textlink="">
      <xdr:nvSpPr>
        <xdr:cNvPr id="3" name="Rectangle : coins arrondi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D6D3E8-26F3-4FE6-9C35-7A93DEFFA699}"/>
            </a:ext>
          </a:extLst>
        </xdr:cNvPr>
        <xdr:cNvSpPr/>
      </xdr:nvSpPr>
      <xdr:spPr>
        <a:xfrm>
          <a:off x="7219950" y="5105400"/>
          <a:ext cx="1219200" cy="339090"/>
        </a:xfrm>
        <a:prstGeom prst="roundRect">
          <a:avLst/>
        </a:prstGeom>
        <a:solidFill>
          <a:srgbClr val="AB9A8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500" baseline="0">
              <a:latin typeface="Calibri" panose="020F0502020204030204" pitchFamily="34" charset="0"/>
            </a:rPr>
            <a:t>Back </a:t>
          </a:r>
        </a:p>
      </xdr:txBody>
    </xdr:sp>
    <xdr:clientData fLocksWithSheet="0"/>
  </xdr:twoCellAnchor>
  <xdr:twoCellAnchor editAs="oneCell">
    <xdr:from>
      <xdr:col>0</xdr:col>
      <xdr:colOff>190500</xdr:colOff>
      <xdr:row>0</xdr:row>
      <xdr:rowOff>104775</xdr:rowOff>
    </xdr:from>
    <xdr:to>
      <xdr:col>2</xdr:col>
      <xdr:colOff>245073</xdr:colOff>
      <xdr:row>3</xdr:row>
      <xdr:rowOff>97155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0D6BD4E-CE62-4333-844A-8FF33D3DA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4775"/>
          <a:ext cx="3142578" cy="733425"/>
        </a:xfrm>
        <a:prstGeom prst="rect">
          <a:avLst/>
        </a:prstGeom>
      </xdr:spPr>
    </xdr:pic>
    <xdr:clientData/>
  </xdr:twoCellAnchor>
  <xdr:twoCellAnchor editAs="oneCell">
    <xdr:from>
      <xdr:col>26</xdr:col>
      <xdr:colOff>790575</xdr:colOff>
      <xdr:row>3</xdr:row>
      <xdr:rowOff>72390</xdr:rowOff>
    </xdr:from>
    <xdr:to>
      <xdr:col>31</xdr:col>
      <xdr:colOff>132063</xdr:colOff>
      <xdr:row>19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50DE7C5-1CA4-493F-8F36-DE93C1A2E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0" y="805815"/>
          <a:ext cx="3679173" cy="37090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19</xdr:row>
          <xdr:rowOff>47625</xdr:rowOff>
        </xdr:from>
        <xdr:to>
          <xdr:col>18</xdr:col>
          <xdr:colOff>219075</xdr:colOff>
          <xdr:row>21</xdr:row>
          <xdr:rowOff>142875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Export configuration to PDF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22</xdr:row>
      <xdr:rowOff>9525</xdr:rowOff>
    </xdr:from>
    <xdr:to>
      <xdr:col>18</xdr:col>
      <xdr:colOff>19050</xdr:colOff>
      <xdr:row>23</xdr:row>
      <xdr:rowOff>120015</xdr:rowOff>
    </xdr:to>
    <xdr:sp macro="" textlink="">
      <xdr:nvSpPr>
        <xdr:cNvPr id="3" name="Rectangle : coins arrondi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E5CDC3-8C72-4E02-BAF1-753BE5B127DA}"/>
            </a:ext>
          </a:extLst>
        </xdr:cNvPr>
        <xdr:cNvSpPr/>
      </xdr:nvSpPr>
      <xdr:spPr>
        <a:xfrm>
          <a:off x="7448550" y="5105400"/>
          <a:ext cx="1219200" cy="339090"/>
        </a:xfrm>
        <a:prstGeom prst="roundRect">
          <a:avLst/>
        </a:prstGeom>
        <a:solidFill>
          <a:srgbClr val="AB9A8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500" baseline="0">
              <a:latin typeface="Calibri" panose="020F0502020204030204" pitchFamily="34" charset="0"/>
            </a:rPr>
            <a:t>Vorig </a:t>
          </a:r>
        </a:p>
      </xdr:txBody>
    </xdr:sp>
    <xdr:clientData fLocksWithSheet="0"/>
  </xdr:twoCellAnchor>
  <xdr:twoCellAnchor editAs="oneCell">
    <xdr:from>
      <xdr:col>0</xdr:col>
      <xdr:colOff>190500</xdr:colOff>
      <xdr:row>0</xdr:row>
      <xdr:rowOff>57150</xdr:rowOff>
    </xdr:from>
    <xdr:to>
      <xdr:col>2</xdr:col>
      <xdr:colOff>152400</xdr:colOff>
      <xdr:row>3</xdr:row>
      <xdr:rowOff>37910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D910B67-7A78-4F30-8678-11DB3411C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7150"/>
          <a:ext cx="3057525" cy="714185"/>
        </a:xfrm>
        <a:prstGeom prst="rect">
          <a:avLst/>
        </a:prstGeom>
      </xdr:spPr>
    </xdr:pic>
    <xdr:clientData/>
  </xdr:twoCellAnchor>
  <xdr:twoCellAnchor editAs="oneCell">
    <xdr:from>
      <xdr:col>26</xdr:col>
      <xdr:colOff>552450</xdr:colOff>
      <xdr:row>2</xdr:row>
      <xdr:rowOff>100965</xdr:rowOff>
    </xdr:from>
    <xdr:to>
      <xdr:col>31</xdr:col>
      <xdr:colOff>114300</xdr:colOff>
      <xdr:row>19</xdr:row>
      <xdr:rowOff>193680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EEC1F4-4385-4204-AF12-257C08911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653415"/>
          <a:ext cx="3895725" cy="39312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19</xdr:row>
          <xdr:rowOff>28575</xdr:rowOff>
        </xdr:from>
        <xdr:to>
          <xdr:col>18</xdr:col>
          <xdr:colOff>266700</xdr:colOff>
          <xdr:row>21</xdr:row>
          <xdr:rowOff>171450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Configuratie exporteren naar PDF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579120</xdr:colOff>
      <xdr:row>18</xdr:row>
      <xdr:rowOff>167640</xdr:rowOff>
    </xdr:from>
    <xdr:to>
      <xdr:col>5</xdr:col>
      <xdr:colOff>1798320</xdr:colOff>
      <xdr:row>19</xdr:row>
      <xdr:rowOff>106680</xdr:rowOff>
    </xdr:to>
    <xdr:sp macro="" textlink="">
      <xdr:nvSpPr>
        <xdr:cNvPr id="6" name="Rectangle : coins arrondi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856013-2CE6-430A-991B-3DCECA2475EF}"/>
            </a:ext>
          </a:extLst>
        </xdr:cNvPr>
        <xdr:cNvSpPr/>
      </xdr:nvSpPr>
      <xdr:spPr>
        <a:xfrm>
          <a:off x="9471660" y="5539740"/>
          <a:ext cx="1219200" cy="342900"/>
        </a:xfrm>
        <a:prstGeom prst="roundRect">
          <a:avLst/>
        </a:prstGeom>
        <a:solidFill>
          <a:srgbClr val="AB9A8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BE" sz="1500" baseline="0">
              <a:latin typeface="Calibri" panose="020F0502020204030204" pitchFamily="34" charset="0"/>
            </a:rPr>
            <a:t>Retour </a:t>
          </a:r>
        </a:p>
      </xdr:txBody>
    </xdr:sp>
    <xdr:clientData/>
  </xdr:twoCellAnchor>
  <xdr:twoCellAnchor editAs="oneCell">
    <xdr:from>
      <xdr:col>0</xdr:col>
      <xdr:colOff>142875</xdr:colOff>
      <xdr:row>0</xdr:row>
      <xdr:rowOff>101102</xdr:rowOff>
    </xdr:from>
    <xdr:to>
      <xdr:col>0</xdr:col>
      <xdr:colOff>3310890</xdr:colOff>
      <xdr:row>2</xdr:row>
      <xdr:rowOff>37655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C823B1B-9A00-41E0-A1BA-0DD88205C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1102"/>
          <a:ext cx="3139440" cy="73665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</xdr:row>
          <xdr:rowOff>200025</xdr:rowOff>
        </xdr:from>
        <xdr:to>
          <xdr:col>10</xdr:col>
          <xdr:colOff>270510</xdr:colOff>
          <xdr:row>18</xdr:row>
          <xdr:rowOff>72390</xdr:rowOff>
        </xdr:to>
        <xdr:pic>
          <xdr:nvPicPr>
            <xdr:cNvPr id="8" name="Image 7">
              <a:extLst>
                <a:ext uri="{FF2B5EF4-FFF2-40B4-BE49-F238E27FC236}">
                  <a16:creationId xmlns:a16="http://schemas.microsoft.com/office/drawing/2014/main" id="{1B71EF8F-3E76-C0F7-EE82-BC6326D82DE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adaVisu" spid="_x0000_s933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9620250" y="1800225"/>
              <a:ext cx="3238500" cy="41814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323850</xdr:colOff>
          <xdr:row>16</xdr:row>
          <xdr:rowOff>95250</xdr:rowOff>
        </xdr:from>
        <xdr:to>
          <xdr:col>6</xdr:col>
          <xdr:colOff>123825</xdr:colOff>
          <xdr:row>18</xdr:row>
          <xdr:rowOff>28575</xdr:rowOff>
        </xdr:to>
        <xdr:sp macro="" textlink="">
          <xdr:nvSpPr>
            <xdr:cNvPr id="9233" name="Button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8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Exporter la configuration en PDF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739140</xdr:colOff>
      <xdr:row>18</xdr:row>
      <xdr:rowOff>83820</xdr:rowOff>
    </xdr:from>
    <xdr:to>
      <xdr:col>5</xdr:col>
      <xdr:colOff>1958340</xdr:colOff>
      <xdr:row>19</xdr:row>
      <xdr:rowOff>22860</xdr:rowOff>
    </xdr:to>
    <xdr:sp macro="" textlink="">
      <xdr:nvSpPr>
        <xdr:cNvPr id="4" name="Rectangle : coins arrondi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BA766E-54D4-4480-B093-985B0C5B845B}"/>
            </a:ext>
          </a:extLst>
        </xdr:cNvPr>
        <xdr:cNvSpPr/>
      </xdr:nvSpPr>
      <xdr:spPr>
        <a:xfrm>
          <a:off x="9631680" y="5455920"/>
          <a:ext cx="1219200" cy="342900"/>
        </a:xfrm>
        <a:prstGeom prst="roundRect">
          <a:avLst/>
        </a:prstGeom>
        <a:solidFill>
          <a:srgbClr val="AB9A8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BE" sz="1500" baseline="0">
              <a:latin typeface="Calibri" panose="020F0502020204030204" pitchFamily="34" charset="0"/>
            </a:rPr>
            <a:t>Back </a:t>
          </a:r>
        </a:p>
      </xdr:txBody>
    </xdr:sp>
    <xdr:clientData fLocksWithSheet="0"/>
  </xdr:twoCellAnchor>
  <xdr:twoCellAnchor editAs="oneCell">
    <xdr:from>
      <xdr:col>0</xdr:col>
      <xdr:colOff>190501</xdr:colOff>
      <xdr:row>0</xdr:row>
      <xdr:rowOff>76201</xdr:rowOff>
    </xdr:from>
    <xdr:to>
      <xdr:col>0</xdr:col>
      <xdr:colOff>3614929</xdr:colOff>
      <xdr:row>2</xdr:row>
      <xdr:rowOff>76201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1D68B9-ACD2-4035-A047-12F013A85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76201"/>
          <a:ext cx="3424428" cy="8001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</xdr:row>
          <xdr:rowOff>200025</xdr:rowOff>
        </xdr:from>
        <xdr:to>
          <xdr:col>10</xdr:col>
          <xdr:colOff>346710</xdr:colOff>
          <xdr:row>16</xdr:row>
          <xdr:rowOff>295275</xdr:rowOff>
        </xdr:to>
        <xdr:pic>
          <xdr:nvPicPr>
            <xdr:cNvPr id="3" name="Image 2">
              <a:extLst>
                <a:ext uri="{FF2B5EF4-FFF2-40B4-BE49-F238E27FC236}">
                  <a16:creationId xmlns:a16="http://schemas.microsoft.com/office/drawing/2014/main" id="{6161FEB1-B4EB-866D-0D5B-3CA6B3A95B0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adaVisuEN" spid="_x0000_s1034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9696450" y="1400175"/>
              <a:ext cx="3238500" cy="41529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523875</xdr:colOff>
          <xdr:row>16</xdr:row>
          <xdr:rowOff>9525</xdr:rowOff>
        </xdr:from>
        <xdr:to>
          <xdr:col>6</xdr:col>
          <xdr:colOff>219075</xdr:colOff>
          <xdr:row>18</xdr:row>
          <xdr:rowOff>19050</xdr:rowOff>
        </xdr:to>
        <xdr:sp macro="" textlink="">
          <xdr:nvSpPr>
            <xdr:cNvPr id="10249" name="Butto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9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Export configuration to PDF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2C276B-A36E-4B14-9E1A-991333F47914}" name="Tableau1" displayName="Tableau1" ref="C9:L10" totalsRowShown="0" headerRowDxfId="102" dataDxfId="100" headerRowBorderDxfId="101" tableBorderDxfId="99" totalsRowBorderDxfId="98">
  <tableColumns count="10">
    <tableColumn id="1" xr3:uid="{F756DF5B-D0AC-4F82-AE79-D89BE9A16AC3}" name="1" dataDxfId="97"/>
    <tableColumn id="2" xr3:uid="{7C02053D-4A03-4894-A844-7EB5243D1579}" name="2" dataDxfId="96"/>
    <tableColumn id="3" xr3:uid="{CBEE4234-37E7-466F-A384-13ADB9DED30D}" name="3" dataDxfId="95"/>
    <tableColumn id="4" xr3:uid="{FFACCBF1-829F-420C-AC44-164BEBC77D7D}" name="4" dataDxfId="94"/>
    <tableColumn id="5" xr3:uid="{0E611385-E94A-46A4-AD4D-67742971BA0B}" name="5" dataDxfId="93"/>
    <tableColumn id="6" xr3:uid="{3A27421B-04D9-453B-A66E-E9C3859969FC}" name="6" dataDxfId="92"/>
    <tableColumn id="7" xr3:uid="{EA32B3FC-0E0E-4EB8-AE7A-1FD955D164BB}" name="7" dataDxfId="91"/>
    <tableColumn id="8" xr3:uid="{8EDDC0EB-DB98-4CD0-88A3-54305D1D7E92}" name="8" dataDxfId="90"/>
    <tableColumn id="9" xr3:uid="{3EDAB576-517F-4EA8-A992-98E003FCBA76}" name="9" dataDxfId="89"/>
    <tableColumn id="10" xr3:uid="{5222D907-761C-4A4A-93B1-324776FE20D6}" name="10" dataDxfId="88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5EE185-47BD-4929-A8ED-36FC0F996605}" name="Tableau2" displayName="Tableau2" ref="C12:L13" totalsRowShown="0" headerRowDxfId="87" dataDxfId="85" headerRowBorderDxfId="86" tableBorderDxfId="84" totalsRowBorderDxfId="83">
  <tableColumns count="10">
    <tableColumn id="1" xr3:uid="{07BA269D-95F6-49B9-981C-7228B0E11E7B}" name="1" dataDxfId="82"/>
    <tableColumn id="2" xr3:uid="{5E1BCC41-D5EC-4F5E-B6C3-F4FA058C110A}" name="2" dataDxfId="81"/>
    <tableColumn id="3" xr3:uid="{9AED776E-AE2D-43D8-BAA5-E1D21C07DB02}" name="3" dataDxfId="80"/>
    <tableColumn id="4" xr3:uid="{E35342F8-548A-4198-BCD8-12DB77F7AFEE}" name="4" dataDxfId="79"/>
    <tableColumn id="5" xr3:uid="{124919F0-CA31-4EC4-891C-094AAB67848A}" name="5" dataDxfId="78"/>
    <tableColumn id="6" xr3:uid="{70D1B6BE-A0D5-4113-8A40-9007914F4071}" name="6" dataDxfId="77"/>
    <tableColumn id="7" xr3:uid="{ACBCDF04-D44D-4930-9583-50D996DDF0CD}" name="7" dataDxfId="76"/>
    <tableColumn id="8" xr3:uid="{DA2CED12-74C6-4823-9261-54A2E80A9BA7}" name="8" dataDxfId="75"/>
    <tableColumn id="9" xr3:uid="{1D52C835-31CC-4ED0-983A-42C280F27E0E}" name="9" dataDxfId="74"/>
    <tableColumn id="10" xr3:uid="{EDF8497A-B2DC-44A3-A0E4-636E175EBD95}" name="10" dataDxfId="73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1A5500-1C42-4AEF-A60F-267B3C856843}" name="Tableau14" displayName="Tableau14" ref="C9:L10" totalsRowShown="0" headerRowDxfId="66" dataDxfId="64" headerRowBorderDxfId="65" tableBorderDxfId="63" totalsRowBorderDxfId="62">
  <tableColumns count="10">
    <tableColumn id="1" xr3:uid="{AA51A1CE-9130-4566-B7A5-1B5AB91BD57D}" name="1" dataDxfId="61"/>
    <tableColumn id="2" xr3:uid="{56C9AAB8-3FC7-46CE-9F71-D90EB71AAB54}" name="2" dataDxfId="60"/>
    <tableColumn id="3" xr3:uid="{748D757E-BBCF-4D75-AF6C-31F1ED59C05B}" name="3" dataDxfId="59"/>
    <tableColumn id="4" xr3:uid="{F153199E-03FB-48E9-AE10-194D94A5781F}" name="4" dataDxfId="58"/>
    <tableColumn id="5" xr3:uid="{8C68438B-55C4-4CAC-909B-527DB5A04A1C}" name="5" dataDxfId="57"/>
    <tableColumn id="6" xr3:uid="{AFDC40CC-3491-4790-B825-D0588052F064}" name="6" dataDxfId="56"/>
    <tableColumn id="7" xr3:uid="{F90A1294-9FC1-4863-B751-509F100BE017}" name="7" dataDxfId="55"/>
    <tableColumn id="8" xr3:uid="{6128DFD2-F135-493D-8595-6D464936DA5E}" name="8" dataDxfId="54"/>
    <tableColumn id="9" xr3:uid="{F64FFEC1-F0C6-4ECE-BDE5-CDAD82F13363}" name="9" dataDxfId="53"/>
    <tableColumn id="10" xr3:uid="{BF89BD00-5D8D-4830-B884-08C7FB41E166}" name="10" dataDxfId="52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7D7A12-D372-493A-8E00-289D7D212AF4}" name="Tableau25" displayName="Tableau25" ref="C12:L13" totalsRowShown="0" headerRowDxfId="51" dataDxfId="49" headerRowBorderDxfId="50" tableBorderDxfId="48" totalsRowBorderDxfId="47">
  <tableColumns count="10">
    <tableColumn id="1" xr3:uid="{36E4D98A-8960-4977-AD4D-49D5E81C7047}" name="1" dataDxfId="46"/>
    <tableColumn id="2" xr3:uid="{43D0B92B-8294-4CFA-A061-4B018A835471}" name="2" dataDxfId="45"/>
    <tableColumn id="3" xr3:uid="{7260A676-993B-4D33-9FF2-203306DCB86B}" name="3" dataDxfId="44"/>
    <tableColumn id="4" xr3:uid="{F094E2AE-9EDA-48B3-A347-47DDABD5E2F9}" name="4" dataDxfId="43"/>
    <tableColumn id="5" xr3:uid="{BC562B29-C65F-4337-AACF-0BD39B85BD48}" name="5" dataDxfId="42"/>
    <tableColumn id="6" xr3:uid="{F1336C0B-459F-48E7-8881-9B990133B05F}" name="6" dataDxfId="41"/>
    <tableColumn id="7" xr3:uid="{66CAC9C6-BAF0-4F8C-BD48-8B14D8808E30}" name="7" dataDxfId="40"/>
    <tableColumn id="8" xr3:uid="{62149425-40E2-4B63-9648-D0B6101BC19A}" name="8" dataDxfId="39"/>
    <tableColumn id="9" xr3:uid="{07E0CBC2-3F0A-4879-BF80-3B3B394D3EE6}" name="9" dataDxfId="38"/>
    <tableColumn id="10" xr3:uid="{CA754238-A9BC-4057-A41C-F72356CFF7D2}" name="10" dataDxfId="37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0F98FCD-3368-4911-BF5F-C75CB0A88A08}" name="Tableau146" displayName="Tableau146" ref="C9:L10" totalsRowShown="0" headerRowDxfId="30" dataDxfId="28" headerRowBorderDxfId="29" tableBorderDxfId="27" totalsRowBorderDxfId="26">
  <tableColumns count="10">
    <tableColumn id="1" xr3:uid="{01B5D76B-2740-4A59-85B7-93C3F4371082}" name="1" dataDxfId="25"/>
    <tableColumn id="2" xr3:uid="{93E5E869-0D0C-4EA6-B34E-3238AF2FCCAB}" name="2" dataDxfId="24"/>
    <tableColumn id="3" xr3:uid="{77B87549-1B2A-4717-8526-3CCE8959F268}" name="3" dataDxfId="23"/>
    <tableColumn id="4" xr3:uid="{79A03FCE-4CAD-4989-AEE4-D86AC18C0037}" name="4" dataDxfId="22"/>
    <tableColumn id="5" xr3:uid="{901C511C-44E8-4587-B3A4-EB1164869C48}" name="5" dataDxfId="21"/>
    <tableColumn id="6" xr3:uid="{42E1D9A8-47E2-44FF-B76C-E56D7DC76B9A}" name="6" dataDxfId="20"/>
    <tableColumn id="7" xr3:uid="{80E07123-5E3C-45D5-ADA5-A9718FD99C27}" name="7" dataDxfId="19"/>
    <tableColumn id="8" xr3:uid="{0F9E6C56-DFEF-4B3E-876F-1CFEE954C916}" name="8" dataDxfId="18"/>
    <tableColumn id="9" xr3:uid="{F6D996E3-5056-4190-90F5-1C7EF6F46AFB}" name="9" dataDxfId="17"/>
    <tableColumn id="10" xr3:uid="{B794AFCA-7F28-4161-A7B8-39CC0A3AD988}" name="10" dataDxfId="16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5E86B75-B409-4947-B237-4370D444C6BC}" name="Tableau257" displayName="Tableau257" ref="C12:L13" totalsRowShown="0" headerRowDxfId="15" dataDxfId="13" headerRowBorderDxfId="14" tableBorderDxfId="12" totalsRowBorderDxfId="11">
  <tableColumns count="10">
    <tableColumn id="1" xr3:uid="{67FC53B6-63B0-4B96-AE57-C23A43C9867B}" name="1" dataDxfId="10"/>
    <tableColumn id="2" xr3:uid="{C7291991-1B76-4102-A664-A9F89CDEE92B}" name="2" dataDxfId="9"/>
    <tableColumn id="3" xr3:uid="{196708AF-92CA-4657-B0B9-140797DC5519}" name="3" dataDxfId="8"/>
    <tableColumn id="4" xr3:uid="{162B8C46-A68A-4727-9F70-054A909B2FE9}" name="4" dataDxfId="7"/>
    <tableColumn id="5" xr3:uid="{5900E795-6E13-4CED-893D-C1C79B577B97}" name="5" dataDxfId="6"/>
    <tableColumn id="6" xr3:uid="{55A64363-1077-444D-B2DB-14094FBA16EF}" name="6" dataDxfId="5"/>
    <tableColumn id="7" xr3:uid="{6CD9C12D-B61B-434A-B788-FE69881BDCBD}" name="7" dataDxfId="4"/>
    <tableColumn id="8" xr3:uid="{6EAAEBDA-65DD-4B32-B0D8-7DB23F88CF27}" name="8" dataDxfId="3"/>
    <tableColumn id="9" xr3:uid="{9BD86648-4AF4-4488-A5B0-47DD0EF73F39}" name="9" dataDxfId="2"/>
    <tableColumn id="10" xr3:uid="{FCB6E7C6-3D7B-49A0-8ECF-757651CE36E9}" name="10" dataDxfId="1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599FFDD-860F-4A59-864D-20A25EA69C53}" name="Tableau7" displayName="Tableau7" ref="A2:B6" totalsRowShown="0">
  <autoFilter ref="A2:B6" xr:uid="{9599FFDD-860F-4A59-864D-20A25EA69C53}"/>
  <tableColumns count="2">
    <tableColumn id="1" xr3:uid="{C2F8B791-A2EC-4142-9CBF-D00558B5872B}" name="Support"/>
    <tableColumn id="2" xr3:uid="{3FF63AF5-B8EB-4A0F-8276-5B64EFDC354F}" name="Prix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B2B471E-9115-41E8-94BA-2CAACA2A2D24}" name="Tableau8" displayName="Tableau8" ref="E2:F11" totalsRowShown="0" headerRowDxfId="0">
  <autoFilter ref="E2:F11" xr:uid="{EB2B471E-9115-41E8-94BA-2CAACA2A2D24}"/>
  <tableColumns count="2">
    <tableColumn id="1" xr3:uid="{32CF7C4A-218D-45DC-8AE6-5083D49FE255}" name="Type de tablette"/>
    <tableColumn id="2" xr3:uid="{66898AAC-ACAC-4BD0-A522-03F8C0F31A2A}" name="Coté reto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Relationship Id="rId4" Type="http://schemas.openxmlformats.org/officeDocument/2006/relationships/table" Target="../tables/table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ctrlProp" Target="../ctrlProps/ctrlProp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E19B-653B-40DD-B85A-C5A4DD765918}">
  <sheetPr codeName="Feuil2"/>
  <dimension ref="A1"/>
  <sheetViews>
    <sheetView showGridLines="0" showRowColHeaders="0" tabSelected="1" workbookViewId="0">
      <selection activeCell="H69" sqref="H69"/>
    </sheetView>
  </sheetViews>
  <sheetFormatPr baseColWidth="10" defaultColWidth="11.42578125" defaultRowHeight="15" x14ac:dyDescent="0.25"/>
  <cols>
    <col min="1" max="16384" width="11.42578125" style="25"/>
  </cols>
  <sheetData/>
  <sheetProtection sheet="1" selectLockedCell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8FA7-96E2-4855-89A9-7DE06EE64C9F}">
  <sheetPr codeName="Feuil11"/>
  <dimension ref="A2:F22"/>
  <sheetViews>
    <sheetView showRowColHeaders="0" workbookViewId="0">
      <selection activeCell="C6" sqref="C6"/>
    </sheetView>
  </sheetViews>
  <sheetFormatPr baseColWidth="10" defaultColWidth="11.5703125" defaultRowHeight="31.9" customHeight="1" x14ac:dyDescent="0.25"/>
  <cols>
    <col min="1" max="1" width="63.5703125" style="25" bestFit="1" customWidth="1"/>
    <col min="2" max="2" width="5.7109375" style="25" customWidth="1"/>
    <col min="3" max="3" width="14.140625" style="25" customWidth="1"/>
    <col min="4" max="4" width="12.5703125" style="25" customWidth="1"/>
    <col min="5" max="5" width="17.7109375" style="25" customWidth="1"/>
    <col min="6" max="6" width="28.7109375" style="25" customWidth="1"/>
    <col min="7" max="16384" width="11.5703125" style="25"/>
  </cols>
  <sheetData>
    <row r="2" spans="1:6" ht="31.9" customHeight="1" x14ac:dyDescent="0.4">
      <c r="B2" s="73" t="s">
        <v>132</v>
      </c>
      <c r="D2" s="60"/>
      <c r="E2" s="60"/>
      <c r="F2" s="60"/>
    </row>
    <row r="3" spans="1:6" ht="31.9" customHeight="1" x14ac:dyDescent="0.4">
      <c r="C3" s="61"/>
      <c r="D3" s="61"/>
      <c r="E3" s="61"/>
      <c r="F3" s="61"/>
    </row>
    <row r="4" spans="1:6" ht="31.9" customHeight="1" x14ac:dyDescent="0.4">
      <c r="A4" s="87" t="s">
        <v>101</v>
      </c>
      <c r="C4" s="61"/>
      <c r="D4" s="61"/>
      <c r="E4" s="61"/>
      <c r="F4" s="61"/>
    </row>
    <row r="5" spans="1:6" ht="40.15" customHeight="1" x14ac:dyDescent="0.25">
      <c r="A5" s="78"/>
      <c r="C5" s="26"/>
      <c r="D5" s="83" t="s">
        <v>36</v>
      </c>
      <c r="E5" s="83" t="s">
        <v>37</v>
      </c>
    </row>
    <row r="6" spans="1:6" ht="31.9" customHeight="1" x14ac:dyDescent="0.5">
      <c r="A6" s="76" t="s">
        <v>149</v>
      </c>
      <c r="B6" s="27"/>
      <c r="C6" s="62">
        <v>96</v>
      </c>
      <c r="D6" s="84" t="str">
        <f>IF(C6=50,"non",IF(C6=96,"non",IF(C6=143,"non",IF(C6=189,"non","oui"))))</f>
        <v>non</v>
      </c>
      <c r="E6" s="85">
        <f>IF(AND(C6&gt;='Données Mad EN'!G8,'Calcu Mad EN'!C6&lt;='Données Mad EN'!H8),'Données Mad EN'!F8,(IF(AND(C6&gt;='Données Mad EN'!G9,'Calcu Mad EN'!C6&lt;='Données Mad EN'!H9),'Données Mad EN'!F9,(IF(AND(C6&gt;='Données Mad EN'!G10,'Calcu Mad EN'!C6&lt;='Données Mad EN'!H10),'Données Mad EN'!F10,(IF(AND(C6&gt;='Données Mad EN'!G11,'Calcu Mad EN'!C6&lt;='Données Mad EN'!H11),'Données Mad EN'!F11,0)))))))</f>
        <v>2</v>
      </c>
    </row>
    <row r="7" spans="1:6" ht="15" customHeight="1" x14ac:dyDescent="0.25">
      <c r="A7" s="77" t="s">
        <v>150</v>
      </c>
      <c r="B7" s="29"/>
      <c r="C7" s="26"/>
      <c r="D7" s="86"/>
      <c r="E7" s="127">
        <f>E6+(IF(C15="Non","0",4))</f>
        <v>2</v>
      </c>
    </row>
    <row r="8" spans="1:6" ht="19.899999999999999" customHeight="1" x14ac:dyDescent="0.25">
      <c r="A8" s="78"/>
      <c r="C8" s="26"/>
      <c r="D8" s="86"/>
      <c r="E8" s="78"/>
    </row>
    <row r="9" spans="1:6" ht="31.9" customHeight="1" x14ac:dyDescent="0.5">
      <c r="A9" s="79" t="s">
        <v>151</v>
      </c>
      <c r="B9" s="30"/>
      <c r="C9" s="62">
        <v>55</v>
      </c>
      <c r="D9" s="84" t="str">
        <f>IF(C9=55,"non","oui")</f>
        <v>non</v>
      </c>
      <c r="E9" s="78"/>
    </row>
    <row r="10" spans="1:6" ht="15" customHeight="1" x14ac:dyDescent="0.25">
      <c r="A10" s="77" t="s">
        <v>40</v>
      </c>
      <c r="B10" s="29"/>
      <c r="C10" s="26"/>
      <c r="D10" s="86"/>
      <c r="E10" s="78"/>
    </row>
    <row r="11" spans="1:6" ht="19.899999999999999" customHeight="1" x14ac:dyDescent="0.25">
      <c r="A11" s="78"/>
      <c r="C11" s="26"/>
      <c r="D11" s="86"/>
      <c r="E11" s="78"/>
    </row>
    <row r="12" spans="1:6" ht="31.9" customHeight="1" x14ac:dyDescent="0.5">
      <c r="A12" s="79" t="s">
        <v>152</v>
      </c>
      <c r="B12" s="30"/>
      <c r="C12" s="62">
        <v>185</v>
      </c>
      <c r="D12" s="84" t="str">
        <f>IF(C12=185,"non","oui")</f>
        <v>non</v>
      </c>
      <c r="E12" s="78"/>
    </row>
    <row r="13" spans="1:6" ht="15" customHeight="1" x14ac:dyDescent="0.25">
      <c r="A13" s="77" t="s">
        <v>39</v>
      </c>
      <c r="B13" s="29"/>
      <c r="C13" s="26"/>
      <c r="D13" s="86"/>
      <c r="E13" s="78"/>
      <c r="F13" s="193" t="s">
        <v>38</v>
      </c>
    </row>
    <row r="14" spans="1:6" ht="19.899999999999999" customHeight="1" x14ac:dyDescent="0.25">
      <c r="A14" s="78"/>
      <c r="C14" s="26"/>
      <c r="D14" s="26"/>
      <c r="F14" s="194"/>
    </row>
    <row r="15" spans="1:6" ht="31.9" customHeight="1" x14ac:dyDescent="0.6">
      <c r="A15" s="80" t="s">
        <v>41</v>
      </c>
      <c r="B15" s="31"/>
      <c r="C15" s="62" t="s">
        <v>136</v>
      </c>
      <c r="D15" s="26"/>
      <c r="F15" s="59">
        <f>'Données Mad EN'!B25*'Données Mad EN'!B26*'Données Mad EN'!B27*'Données Mad EN'!B28*(1+(('Données Mad EN'!B29-'Données Mad EN'!B30)/'Données Mad EN'!B30)*0.5)+'Données Mad EN'!B31+'Données Mad EN'!B32+'Données Mad EN'!B33</f>
        <v>1225.6583591836736</v>
      </c>
    </row>
    <row r="16" spans="1:6" ht="19.899999999999999" customHeight="1" x14ac:dyDescent="0.25">
      <c r="A16" s="81" t="s">
        <v>142</v>
      </c>
      <c r="C16" s="26"/>
      <c r="D16" s="26"/>
    </row>
    <row r="17" spans="1:4" ht="31.9" customHeight="1" x14ac:dyDescent="0.5">
      <c r="A17" s="82" t="s">
        <v>153</v>
      </c>
      <c r="B17" s="31"/>
      <c r="C17" s="62">
        <v>6</v>
      </c>
      <c r="D17" s="26"/>
    </row>
    <row r="18" spans="1:4" ht="19.899999999999999" customHeight="1" x14ac:dyDescent="0.25">
      <c r="A18" s="78"/>
      <c r="C18" s="26"/>
      <c r="D18" s="26"/>
    </row>
    <row r="19" spans="1:4" ht="31.9" customHeight="1" x14ac:dyDescent="0.5">
      <c r="A19" s="82" t="s">
        <v>154</v>
      </c>
      <c r="B19" s="31"/>
      <c r="C19" s="62">
        <v>1</v>
      </c>
      <c r="D19" s="26"/>
    </row>
    <row r="20" spans="1:4" ht="15" customHeight="1" x14ac:dyDescent="0.4">
      <c r="A20" s="79" t="s">
        <v>49</v>
      </c>
      <c r="B20" s="30"/>
      <c r="C20" s="28"/>
      <c r="D20" s="26"/>
    </row>
    <row r="22" spans="1:4" ht="31.9" customHeight="1" x14ac:dyDescent="0.4">
      <c r="B22" s="27"/>
      <c r="D22" s="32"/>
    </row>
  </sheetData>
  <sheetProtection sheet="1" selectLockedCells="1"/>
  <mergeCells count="1">
    <mergeCell ref="F13:F14"/>
  </mergeCells>
  <dataValidations count="2">
    <dataValidation type="whole" allowBlank="1" showInputMessage="1" showErrorMessage="1" sqref="C19:D20" xr:uid="{9298198A-50FA-4AB4-8B72-D4004B680EC1}">
      <formula1>0</formula1>
      <formula2>8</formula2>
    </dataValidation>
    <dataValidation type="whole" allowBlank="1" showInputMessage="1" showErrorMessage="1" sqref="C17:D17" xr:uid="{9D1F5F8A-87BA-487C-B6F8-D7B689D0BD86}">
      <formula1>0</formula1>
      <formula2>16</formula2>
    </dataValidation>
  </dataValidations>
  <pageMargins left="0.25" right="0.25" top="0.75" bottom="0.75" header="0.3" footer="0.3"/>
  <pageSetup paperSize="9" scale="6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9" r:id="rId4" name="Button 9">
              <controlPr defaultSize="0" print="0" autoFill="0" autoPict="0" macro="[0]!PDFMadaEN">
                <anchor moveWithCells="1" sizeWithCells="1">
                  <from>
                    <xdr:col>5</xdr:col>
                    <xdr:colOff>523875</xdr:colOff>
                    <xdr:row>16</xdr:row>
                    <xdr:rowOff>9525</xdr:rowOff>
                  </from>
                  <to>
                    <xdr:col>6</xdr:col>
                    <xdr:colOff>219075</xdr:colOff>
                    <xdr:row>18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3FA9D2C-82E5-4FEC-8E2F-FFC9815B667F}">
          <x14:formula1>
            <xm:f>'Données Mad FR'!$F$15:$F$225</xm:f>
          </x14:formula1>
          <xm:sqref>C6:D8</xm:sqref>
        </x14:dataValidation>
        <x14:dataValidation type="list" allowBlank="1" showInputMessage="1" showErrorMessage="1" xr:uid="{AE50707F-AB27-469B-AFBF-64967BAF8A62}">
          <x14:formula1>
            <xm:f>'Données Mad FR'!$F$4:$H$4</xm:f>
          </x14:formula1>
          <xm:sqref>D15</xm:sqref>
        </x14:dataValidation>
        <x14:dataValidation type="list" allowBlank="1" showInputMessage="1" showErrorMessage="1" xr:uid="{8BC83F15-478A-4767-A9BE-470EEEC7DECC}">
          <x14:formula1>
            <xm:f>'Données Mad FR'!$H$15:$H$135</xm:f>
          </x14:formula1>
          <xm:sqref>C12:D12</xm:sqref>
        </x14:dataValidation>
        <x14:dataValidation type="list" allowBlank="1" showInputMessage="1" showErrorMessage="1" xr:uid="{CF4BBFE0-2988-4BBA-A5B6-7F84B668A3C4}">
          <x14:formula1>
            <xm:f>'Données Mad FR'!$G$15:$G$35</xm:f>
          </x14:formula1>
          <xm:sqref>C9:D11</xm:sqref>
        </x14:dataValidation>
        <x14:dataValidation type="list" allowBlank="1" showInputMessage="1" showErrorMessage="1" xr:uid="{6126916E-294B-4BBC-9B39-F2F17867FF17}">
          <x14:formula1>
            <xm:f>'Données Mad EN'!$F$4:$H$4</xm:f>
          </x14:formula1>
          <xm:sqref>C15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82B64-AF05-4C78-A919-86E22B09D76E}">
  <sheetPr codeName="Feuil12"/>
  <dimension ref="A2:F22"/>
  <sheetViews>
    <sheetView showRowColHeaders="0" workbookViewId="0">
      <selection activeCell="C6" sqref="C6"/>
    </sheetView>
  </sheetViews>
  <sheetFormatPr baseColWidth="10" defaultColWidth="11.5703125" defaultRowHeight="31.9" customHeight="1" x14ac:dyDescent="0.25"/>
  <cols>
    <col min="1" max="1" width="63.5703125" style="25" bestFit="1" customWidth="1"/>
    <col min="2" max="2" width="5.7109375" style="25" customWidth="1"/>
    <col min="3" max="3" width="14.140625" style="25" customWidth="1"/>
    <col min="4" max="4" width="15.140625" style="25" bestFit="1" customWidth="1"/>
    <col min="5" max="5" width="17.7109375" style="25" customWidth="1"/>
    <col min="6" max="6" width="28.7109375" style="25" customWidth="1"/>
    <col min="7" max="16384" width="11.5703125" style="25"/>
  </cols>
  <sheetData>
    <row r="2" spans="1:6" ht="31.9" customHeight="1" x14ac:dyDescent="0.6">
      <c r="B2" s="88" t="s">
        <v>133</v>
      </c>
      <c r="C2" s="63"/>
      <c r="D2" s="63"/>
      <c r="E2" s="63"/>
      <c r="F2" s="63"/>
    </row>
    <row r="3" spans="1:6" ht="31.9" customHeight="1" x14ac:dyDescent="0.6">
      <c r="C3" s="33"/>
      <c r="D3" s="33"/>
      <c r="E3" s="33"/>
      <c r="F3" s="33"/>
    </row>
    <row r="4" spans="1:6" ht="31.9" customHeight="1" x14ac:dyDescent="0.6">
      <c r="A4" s="87" t="s">
        <v>116</v>
      </c>
      <c r="C4" s="33"/>
      <c r="D4" s="33"/>
      <c r="E4" s="33"/>
      <c r="F4" s="33"/>
    </row>
    <row r="5" spans="1:6" ht="40.15" customHeight="1" x14ac:dyDescent="0.25">
      <c r="A5" s="78"/>
      <c r="C5" s="26"/>
      <c r="D5" s="83" t="s">
        <v>44</v>
      </c>
      <c r="E5" s="83" t="s">
        <v>45</v>
      </c>
    </row>
    <row r="6" spans="1:6" ht="31.9" customHeight="1" x14ac:dyDescent="0.5">
      <c r="A6" s="76" t="s">
        <v>155</v>
      </c>
      <c r="B6" s="27"/>
      <c r="C6" s="62">
        <v>96</v>
      </c>
      <c r="D6" s="84" t="str">
        <f>IF(C6=50,"non",IF(C6=96,"non",IF(C6=143,"non",IF(C6=189,"non","oui"))))</f>
        <v>non</v>
      </c>
      <c r="E6" s="85">
        <f>IF(AND(C6&gt;='Données Mad NL'!G8,'Calcu Mad ND'!C6&lt;='Données Mad NL'!H8),'Données Mad NL'!F8,(IF(AND(C6&gt;='Données Mad NL'!G9,'Calcu Mad ND'!C6&lt;='Données Mad NL'!H9),'Données Mad NL'!F9,(IF(AND(C6&gt;='Données Mad NL'!G10,'Calcu Mad ND'!C6&lt;='Données Mad NL'!H10),'Données Mad NL'!F10,(IF(AND(C6&gt;='Données Mad NL'!G11,'Calcu Mad ND'!C6&lt;='Données Mad NL'!H11),'Données Mad NL'!F11,0)))))))</f>
        <v>2</v>
      </c>
    </row>
    <row r="7" spans="1:6" ht="15" customHeight="1" x14ac:dyDescent="0.25">
      <c r="A7" s="77" t="s">
        <v>156</v>
      </c>
      <c r="B7" s="29"/>
      <c r="C7" s="26"/>
      <c r="D7" s="86"/>
      <c r="E7" s="127">
        <f>E6+(IF(C15="Non","0",4))</f>
        <v>2</v>
      </c>
    </row>
    <row r="8" spans="1:6" ht="19.899999999999999" customHeight="1" x14ac:dyDescent="0.25">
      <c r="A8" s="78"/>
      <c r="C8" s="26"/>
      <c r="D8" s="86"/>
      <c r="E8" s="78"/>
    </row>
    <row r="9" spans="1:6" ht="31.9" customHeight="1" x14ac:dyDescent="0.5">
      <c r="A9" s="79" t="s">
        <v>157</v>
      </c>
      <c r="B9" s="30"/>
      <c r="C9" s="62">
        <v>55</v>
      </c>
      <c r="D9" s="84" t="str">
        <f>IF(C9=55,"non","oui")</f>
        <v>non</v>
      </c>
      <c r="E9" s="78"/>
    </row>
    <row r="10" spans="1:6" ht="15" customHeight="1" x14ac:dyDescent="0.25">
      <c r="A10" s="77" t="s">
        <v>47</v>
      </c>
      <c r="B10" s="29"/>
      <c r="C10" s="26"/>
      <c r="D10" s="86"/>
      <c r="E10" s="78"/>
    </row>
    <row r="11" spans="1:6" ht="19.899999999999999" customHeight="1" x14ac:dyDescent="0.25">
      <c r="A11" s="78"/>
      <c r="C11" s="26"/>
      <c r="D11" s="86"/>
      <c r="E11" s="78"/>
    </row>
    <row r="12" spans="1:6" ht="31.9" customHeight="1" x14ac:dyDescent="0.5">
      <c r="A12" s="79" t="s">
        <v>158</v>
      </c>
      <c r="B12" s="30"/>
      <c r="C12" s="62">
        <v>185</v>
      </c>
      <c r="D12" s="84" t="str">
        <f>IF(C12=185,"non","oui")</f>
        <v>non</v>
      </c>
      <c r="E12" s="78"/>
    </row>
    <row r="13" spans="1:6" ht="15" customHeight="1" x14ac:dyDescent="0.25">
      <c r="A13" s="77" t="s">
        <v>43</v>
      </c>
      <c r="B13" s="29"/>
      <c r="C13" s="26"/>
      <c r="D13" s="26"/>
      <c r="F13" s="193" t="s">
        <v>42</v>
      </c>
    </row>
    <row r="14" spans="1:6" ht="19.899999999999999" customHeight="1" x14ac:dyDescent="0.25">
      <c r="A14" s="78"/>
      <c r="C14" s="26"/>
      <c r="D14" s="26"/>
      <c r="F14" s="194"/>
    </row>
    <row r="15" spans="1:6" ht="31.9" customHeight="1" x14ac:dyDescent="0.6">
      <c r="A15" s="80" t="s">
        <v>46</v>
      </c>
      <c r="B15" s="31"/>
      <c r="C15" s="62" t="s">
        <v>136</v>
      </c>
      <c r="D15" s="26"/>
      <c r="F15" s="59">
        <f>'Données Mad NL'!B25*'Données Mad NL'!B26*'Données Mad NL'!B27*'Données Mad NL'!B28*(1+(('Données Mad NL'!B29-'Données Mad NL'!B30)/'Données Mad NL'!B30)*0.5)+'Données Mad NL'!B31+'Données Mad NL'!B32+'Données Mad NL'!B33</f>
        <v>1225.6583591836736</v>
      </c>
    </row>
    <row r="16" spans="1:6" ht="19.899999999999999" customHeight="1" x14ac:dyDescent="0.25">
      <c r="A16" s="78" t="s">
        <v>141</v>
      </c>
      <c r="C16" s="26"/>
      <c r="D16" s="26"/>
    </row>
    <row r="17" spans="1:4" ht="31.9" customHeight="1" x14ac:dyDescent="0.5">
      <c r="A17" s="82" t="s">
        <v>159</v>
      </c>
      <c r="B17" s="31"/>
      <c r="C17" s="62">
        <v>6</v>
      </c>
      <c r="D17" s="26"/>
    </row>
    <row r="18" spans="1:4" ht="19.899999999999999" customHeight="1" x14ac:dyDescent="0.25">
      <c r="A18" s="78"/>
      <c r="C18" s="26"/>
      <c r="D18" s="26"/>
    </row>
    <row r="19" spans="1:4" ht="31.9" customHeight="1" x14ac:dyDescent="0.5">
      <c r="A19" s="82" t="s">
        <v>160</v>
      </c>
      <c r="B19" s="31"/>
      <c r="C19" s="62">
        <v>1</v>
      </c>
      <c r="D19" s="26"/>
    </row>
    <row r="20" spans="1:4" ht="15" customHeight="1" x14ac:dyDescent="0.4">
      <c r="A20" s="79" t="s">
        <v>50</v>
      </c>
      <c r="B20" s="30"/>
      <c r="C20" s="28"/>
      <c r="D20" s="26"/>
    </row>
    <row r="22" spans="1:4" ht="31.9" customHeight="1" x14ac:dyDescent="0.4">
      <c r="B22" s="27"/>
      <c r="D22" s="32"/>
    </row>
  </sheetData>
  <sheetProtection sheet="1" selectLockedCells="1"/>
  <mergeCells count="1">
    <mergeCell ref="F13:F14"/>
  </mergeCells>
  <dataValidations count="2">
    <dataValidation type="whole" allowBlank="1" showInputMessage="1" showErrorMessage="1" sqref="C17:D17" xr:uid="{273BBB67-FBA3-4DCB-9AA2-483D7394A28C}">
      <formula1>0</formula1>
      <formula2>16</formula2>
    </dataValidation>
    <dataValidation type="whole" allowBlank="1" showInputMessage="1" showErrorMessage="1" sqref="C19:D20" xr:uid="{9F3F6454-514A-41B7-864E-E3A428B321BF}">
      <formula1>0</formula1>
      <formula2>8</formula2>
    </dataValidation>
  </dataValidations>
  <pageMargins left="0.25" right="0.25" top="0.75" bottom="0.75" header="0.3" footer="0.3"/>
  <pageSetup paperSize="9" scale="6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3" r:id="rId4" name="Button 9">
              <controlPr defaultSize="0" print="0" autoFill="0" autoPict="0" macro="[0]!PDFMadaND">
                <anchor moveWithCells="1" sizeWithCells="1">
                  <from>
                    <xdr:col>5</xdr:col>
                    <xdr:colOff>390525</xdr:colOff>
                    <xdr:row>16</xdr:row>
                    <xdr:rowOff>57150</xdr:rowOff>
                  </from>
                  <to>
                    <xdr:col>6</xdr:col>
                    <xdr:colOff>266700</xdr:colOff>
                    <xdr:row>18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FC8ABCF-C0D6-4ED5-8F08-51D68931C4B5}">
          <x14:formula1>
            <xm:f>'Données Mad FR'!$G$15:$G$35</xm:f>
          </x14:formula1>
          <xm:sqref>C9:D11</xm:sqref>
        </x14:dataValidation>
        <x14:dataValidation type="list" allowBlank="1" showInputMessage="1" showErrorMessage="1" xr:uid="{67DF4B0E-614A-4246-85DD-FA5469BEBEC8}">
          <x14:formula1>
            <xm:f>'Données Mad FR'!$H$15:$H$135</xm:f>
          </x14:formula1>
          <xm:sqref>C12:D12</xm:sqref>
        </x14:dataValidation>
        <x14:dataValidation type="list" allowBlank="1" showInputMessage="1" showErrorMessage="1" xr:uid="{827439FC-DB73-4C6A-B883-4E5555226A57}">
          <x14:formula1>
            <xm:f>'Données Mad FR'!$F$4:$H$4</xm:f>
          </x14:formula1>
          <xm:sqref>D15</xm:sqref>
        </x14:dataValidation>
        <x14:dataValidation type="list" allowBlank="1" showInputMessage="1" showErrorMessage="1" xr:uid="{F4952A55-7E64-4813-9DE6-6CEA35E47A91}">
          <x14:formula1>
            <xm:f>'Données Mad FR'!$F$15:$F$225</xm:f>
          </x14:formula1>
          <xm:sqref>C6:D8</xm:sqref>
        </x14:dataValidation>
        <x14:dataValidation type="list" allowBlank="1" showInputMessage="1" showErrorMessage="1" xr:uid="{5B17102E-9119-4AE3-9A0D-87F2203647FC}">
          <x14:formula1>
            <xm:f>'Données Mad NL'!$F$4:$H$4</xm:f>
          </x14:formula1>
          <xm:sqref>C15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9FD4-CDAB-4F15-ABEB-FB71D2B56D67}">
  <sheetPr codeName="Feuil1"/>
  <dimension ref="A3:X80"/>
  <sheetViews>
    <sheetView showRowColHeaders="0" workbookViewId="0">
      <selection activeCell="C9" sqref="C9"/>
    </sheetView>
  </sheetViews>
  <sheetFormatPr baseColWidth="10" defaultColWidth="11.5703125" defaultRowHeight="15" x14ac:dyDescent="0.25"/>
  <cols>
    <col min="1" max="1" width="11.5703125" style="25"/>
    <col min="2" max="2" width="35.5703125" style="25" bestFit="1" customWidth="1"/>
    <col min="3" max="3" width="23.140625" style="25" bestFit="1" customWidth="1"/>
    <col min="4" max="16384" width="11.5703125" style="25"/>
  </cols>
  <sheetData>
    <row r="3" spans="1:24" ht="29.25" x14ac:dyDescent="0.35">
      <c r="D3" s="73" t="s">
        <v>171</v>
      </c>
    </row>
    <row r="7" spans="1:24" ht="19.5" x14ac:dyDescent="0.25">
      <c r="A7" s="74" t="s">
        <v>72</v>
      </c>
      <c r="D7" s="127"/>
    </row>
    <row r="8" spans="1:24" x14ac:dyDescent="0.25">
      <c r="A8" s="45"/>
      <c r="B8" s="45"/>
      <c r="C8" s="45"/>
      <c r="D8" s="146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</row>
    <row r="9" spans="1:24" x14ac:dyDescent="0.25">
      <c r="A9" s="45"/>
      <c r="B9" s="45" t="s">
        <v>174</v>
      </c>
      <c r="C9" s="148" t="s">
        <v>176</v>
      </c>
      <c r="D9" s="147" t="str">
        <f>IF(C9="Tablette en coin 90°","2","1")</f>
        <v>1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x14ac:dyDescent="0.25">
      <c r="A10" s="45"/>
      <c r="B10" s="45"/>
      <c r="C10" s="45"/>
      <c r="D10" s="147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 x14ac:dyDescent="0.25">
      <c r="A11" s="45"/>
      <c r="B11" s="45" t="s">
        <v>193</v>
      </c>
      <c r="C11" s="149">
        <v>140</v>
      </c>
      <c r="D11" s="147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 ht="14.45" customHeight="1" x14ac:dyDescent="0.25">
      <c r="A12" s="45"/>
      <c r="B12" s="45"/>
      <c r="C12" s="45"/>
      <c r="D12" s="147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 ht="14.45" customHeight="1" x14ac:dyDescent="0.25">
      <c r="A13" s="45"/>
      <c r="B13" s="45" t="s">
        <v>192</v>
      </c>
      <c r="C13" s="148" t="s">
        <v>189</v>
      </c>
      <c r="D13" s="147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ht="14.45" customHeight="1" x14ac:dyDescent="0.25">
      <c r="A14" s="45"/>
      <c r="B14" s="144" t="s">
        <v>194</v>
      </c>
      <c r="C14" s="45"/>
      <c r="D14" s="147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ht="14.45" customHeight="1" x14ac:dyDescent="0.25">
      <c r="A15" s="45"/>
      <c r="B15" s="144"/>
      <c r="C15" s="45"/>
      <c r="D15" s="147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ht="14.45" customHeight="1" x14ac:dyDescent="0.25">
      <c r="A16" s="45"/>
      <c r="B16" s="45" t="s">
        <v>204</v>
      </c>
      <c r="C16" s="148" t="s">
        <v>189</v>
      </c>
      <c r="D16" s="147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ht="14.45" customHeight="1" x14ac:dyDescent="0.25">
      <c r="A17" s="45"/>
      <c r="B17" s="45"/>
      <c r="C17" s="45"/>
      <c r="D17" s="147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ht="14.45" customHeight="1" x14ac:dyDescent="0.25">
      <c r="A18" s="45"/>
      <c r="B18" s="45" t="s">
        <v>179</v>
      </c>
      <c r="C18" s="149">
        <v>1</v>
      </c>
      <c r="D18" s="147" t="str">
        <f>IF(C18=0,"","3")</f>
        <v>3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x14ac:dyDescent="0.25">
      <c r="A19" s="45"/>
      <c r="C19" s="45"/>
      <c r="D19" s="147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x14ac:dyDescent="0.25">
      <c r="A20" s="45"/>
      <c r="B20" s="45" t="s">
        <v>180</v>
      </c>
      <c r="C20" s="149">
        <v>1</v>
      </c>
      <c r="D20" s="147" t="str">
        <f>IF(C20=0,"","4")</f>
        <v>4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x14ac:dyDescent="0.25">
      <c r="A21" s="45"/>
      <c r="C21" s="45"/>
      <c r="D21" s="147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 x14ac:dyDescent="0.25">
      <c r="A22" s="45"/>
      <c r="B22" s="45" t="s">
        <v>169</v>
      </c>
      <c r="C22" s="149">
        <v>1</v>
      </c>
      <c r="D22" s="147" t="str">
        <f>IF(C24=0,"","5")</f>
        <v/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x14ac:dyDescent="0.25">
      <c r="A23" s="45"/>
      <c r="C23" s="45"/>
      <c r="D23" s="147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x14ac:dyDescent="0.25">
      <c r="A24" s="45"/>
      <c r="B24" s="45" t="s">
        <v>170</v>
      </c>
      <c r="C24" s="149">
        <v>0</v>
      </c>
      <c r="D24" s="147" t="str">
        <f>IF(C22=0,"","6")</f>
        <v>6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x14ac:dyDescent="0.25">
      <c r="A25" s="45"/>
      <c r="B25" s="45"/>
      <c r="C25" s="45"/>
      <c r="D25" s="146"/>
      <c r="E25" s="45"/>
      <c r="F25" s="143" t="str">
        <f>IF(C18=0,"","x "&amp;C18)</f>
        <v>x 1</v>
      </c>
      <c r="G25" s="45"/>
      <c r="H25" s="45"/>
      <c r="I25" s="45" t="str">
        <f>IF(C20=0,"","x "&amp;C20)</f>
        <v>x 1</v>
      </c>
      <c r="J25" s="45"/>
      <c r="K25" s="45" t="str">
        <f>IF(C24=0,"","x "&amp;C24)</f>
        <v/>
      </c>
      <c r="L25" s="143" t="str">
        <f>IF(C22=0,"","x "&amp;C22)</f>
        <v>x 1</v>
      </c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ht="14.45" customHeight="1" x14ac:dyDescent="0.25">
      <c r="A27" s="45"/>
      <c r="B27" s="196" t="s">
        <v>188</v>
      </c>
      <c r="C27" s="195">
        <f>'Données Bur'!C19</f>
        <v>1176</v>
      </c>
      <c r="D27" s="145"/>
      <c r="E27" s="1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24" ht="14.45" customHeight="1" x14ac:dyDescent="0.25">
      <c r="A28" s="45"/>
      <c r="B28" s="196"/>
      <c r="C28" s="195"/>
      <c r="D28" s="145"/>
      <c r="E28" s="1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4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4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:24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1:24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1:24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38" spans="1:24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</row>
    <row r="39" spans="1:24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</row>
    <row r="40" spans="1:24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</row>
    <row r="41" spans="1:24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</row>
    <row r="42" spans="1:24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</row>
    <row r="43" spans="1:24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</row>
    <row r="44" spans="1:24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</row>
    <row r="45" spans="1:24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</row>
    <row r="46" spans="1:24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</row>
    <row r="47" spans="1:24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</row>
    <row r="48" spans="1:24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</row>
    <row r="49" spans="1:24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</row>
    <row r="50" spans="1:24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</row>
    <row r="51" spans="1:24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</row>
    <row r="52" spans="1:24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</row>
    <row r="53" spans="1:24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</row>
    <row r="54" spans="1:24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</row>
    <row r="55" spans="1:24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</row>
    <row r="56" spans="1:24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</row>
    <row r="57" spans="1:24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</row>
    <row r="58" spans="1:24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</row>
    <row r="59" spans="1:24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</row>
    <row r="60" spans="1:24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</row>
    <row r="61" spans="1:24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</row>
    <row r="62" spans="1:24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</row>
    <row r="63" spans="1:24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</row>
    <row r="64" spans="1:24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</row>
    <row r="65" spans="1:24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</row>
    <row r="66" spans="1:24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</row>
    <row r="67" spans="1:24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</row>
    <row r="68" spans="1:24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</row>
    <row r="69" spans="1:24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</row>
    <row r="70" spans="1:24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</row>
    <row r="71" spans="1:24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</row>
    <row r="72" spans="1:24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</row>
    <row r="73" spans="1:24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</row>
    <row r="74" spans="1:24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</row>
    <row r="75" spans="1:24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</row>
    <row r="76" spans="1:24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</row>
    <row r="77" spans="1:24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</row>
    <row r="78" spans="1:24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</row>
    <row r="79" spans="1:24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</row>
    <row r="80" spans="1:24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</row>
  </sheetData>
  <sheetProtection sheet="1" selectLockedCells="1"/>
  <mergeCells count="2">
    <mergeCell ref="C27:C28"/>
    <mergeCell ref="B27:B28"/>
  </mergeCells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PDFBurFR">
                <anchor moveWithCells="1" sizeWithCells="1">
                  <from>
                    <xdr:col>4</xdr:col>
                    <xdr:colOff>47625</xdr:colOff>
                    <xdr:row>26</xdr:row>
                    <xdr:rowOff>133350</xdr:rowOff>
                  </from>
                  <to>
                    <xdr:col>6</xdr:col>
                    <xdr:colOff>219075</xdr:colOff>
                    <xdr:row>29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25DE44D-49AA-432E-A487-2CEC06FC94AE}">
          <x14:formula1>
            <xm:f>'Données Bur'!$E$3:$E$5</xm:f>
          </x14:formula1>
          <xm:sqref>C9</xm:sqref>
        </x14:dataValidation>
        <x14:dataValidation type="list" allowBlank="1" showInputMessage="1" showErrorMessage="1" xr:uid="{1426B251-7A3A-42B8-8385-FBC731354C8D}">
          <x14:formula1>
            <xm:f>'Données Bur'!$H$3:$H$184</xm:f>
          </x14:formula1>
          <xm:sqref>C11</xm:sqref>
        </x14:dataValidation>
        <x14:dataValidation type="list" allowBlank="1" showInputMessage="1" showErrorMessage="1" xr:uid="{B186B6DF-D35A-4399-9B78-F7C7B6DCD497}">
          <x14:formula1>
            <xm:f>'Données Bur'!$J$3:$J$64</xm:f>
          </x14:formula1>
          <xm:sqref>C13</xm:sqref>
        </x14:dataValidation>
        <x14:dataValidation type="list" allowBlank="1" showInputMessage="1" showErrorMessage="1" xr:uid="{8C3B5051-71F9-4781-9FA9-01CBB8205D30}">
          <x14:formula1>
            <xm:f>'Données Bur'!$F$3:$F$5</xm:f>
          </x14:formula1>
          <xm:sqref>C16</xm:sqref>
        </x14:dataValidation>
        <x14:dataValidation type="list" allowBlank="1" showInputMessage="1" showErrorMessage="1" xr:uid="{0CA7B016-3F25-4C3A-84D3-A54979083B9C}">
          <x14:formula1>
            <xm:f>'Données Bur'!$B$8:$B$11</xm:f>
          </x14:formula1>
          <xm:sqref>C18 C24:C25 C22 C20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F4DCE-FF8D-4ACF-A977-EC90C9C8754F}">
  <sheetPr codeName="Feuil16"/>
  <dimension ref="A3:X80"/>
  <sheetViews>
    <sheetView showRowColHeaders="0" workbookViewId="0">
      <selection activeCell="C9" sqref="C9"/>
    </sheetView>
  </sheetViews>
  <sheetFormatPr baseColWidth="10" defaultColWidth="11.5703125" defaultRowHeight="15" x14ac:dyDescent="0.25"/>
  <cols>
    <col min="1" max="1" width="11.5703125" style="25"/>
    <col min="2" max="2" width="35.5703125" style="25" bestFit="1" customWidth="1"/>
    <col min="3" max="3" width="23.140625" style="25" bestFit="1" customWidth="1"/>
    <col min="4" max="16384" width="11.5703125" style="25"/>
  </cols>
  <sheetData>
    <row r="3" spans="1:24" ht="29.25" x14ac:dyDescent="0.35">
      <c r="D3" s="73" t="s">
        <v>198</v>
      </c>
    </row>
    <row r="7" spans="1:24" ht="19.5" x14ac:dyDescent="0.25">
      <c r="A7" s="87" t="s">
        <v>101</v>
      </c>
      <c r="D7" s="127"/>
    </row>
    <row r="8" spans="1:24" x14ac:dyDescent="0.25">
      <c r="A8" s="45"/>
      <c r="B8" s="45"/>
      <c r="C8" s="45"/>
      <c r="D8" s="146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</row>
    <row r="9" spans="1:24" x14ac:dyDescent="0.25">
      <c r="A9" s="45"/>
      <c r="B9" s="45" t="s">
        <v>200</v>
      </c>
      <c r="C9" s="148" t="s">
        <v>211</v>
      </c>
      <c r="D9" s="147" t="str">
        <f>IF(C9="Corner tablet 90°","2","1")</f>
        <v>1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x14ac:dyDescent="0.25">
      <c r="A10" s="45"/>
      <c r="B10" s="45"/>
      <c r="C10" s="45"/>
      <c r="D10" s="147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 x14ac:dyDescent="0.25">
      <c r="A11" s="45"/>
      <c r="B11" s="45" t="s">
        <v>203</v>
      </c>
      <c r="C11" s="149">
        <v>140</v>
      </c>
      <c r="D11" s="147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 ht="14.45" customHeight="1" x14ac:dyDescent="0.25">
      <c r="A12" s="45"/>
      <c r="B12" s="45"/>
      <c r="C12" s="45"/>
      <c r="D12" s="147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 ht="14.45" customHeight="1" x14ac:dyDescent="0.25">
      <c r="A13" s="45"/>
      <c r="B13" s="45" t="s">
        <v>202</v>
      </c>
      <c r="C13" s="148" t="s">
        <v>213</v>
      </c>
      <c r="D13" s="147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ht="14.45" customHeight="1" x14ac:dyDescent="0.25">
      <c r="A14" s="45"/>
      <c r="B14" s="144" t="s">
        <v>201</v>
      </c>
      <c r="C14" s="45"/>
      <c r="D14" s="147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ht="14.45" customHeight="1" x14ac:dyDescent="0.25">
      <c r="A15" s="45"/>
      <c r="B15" s="144"/>
      <c r="C15" s="45"/>
      <c r="D15" s="147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ht="14.45" customHeight="1" x14ac:dyDescent="0.25">
      <c r="A16" s="45"/>
      <c r="B16" s="45" t="s">
        <v>205</v>
      </c>
      <c r="C16" s="148" t="s">
        <v>213</v>
      </c>
      <c r="D16" s="147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ht="14.45" customHeight="1" x14ac:dyDescent="0.25">
      <c r="A17" s="45"/>
      <c r="B17" s="45"/>
      <c r="C17" s="45"/>
      <c r="D17" s="147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ht="14.45" customHeight="1" x14ac:dyDescent="0.25">
      <c r="A18" s="45"/>
      <c r="B18" s="45" t="s">
        <v>207</v>
      </c>
      <c r="C18" s="149">
        <v>1</v>
      </c>
      <c r="D18" s="147" t="str">
        <f>IF(C18=0,"","3")</f>
        <v>3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x14ac:dyDescent="0.25">
      <c r="A19" s="45"/>
      <c r="C19" s="45"/>
      <c r="D19" s="147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x14ac:dyDescent="0.25">
      <c r="A20" s="45"/>
      <c r="B20" s="45" t="s">
        <v>208</v>
      </c>
      <c r="C20" s="149">
        <v>1</v>
      </c>
      <c r="D20" s="147" t="str">
        <f>IF(C20=0,"","4")</f>
        <v>4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x14ac:dyDescent="0.25">
      <c r="A21" s="45"/>
      <c r="C21" s="45"/>
      <c r="D21" s="147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 x14ac:dyDescent="0.25">
      <c r="A22" s="45"/>
      <c r="B22" s="45" t="s">
        <v>206</v>
      </c>
      <c r="C22" s="149">
        <v>1</v>
      </c>
      <c r="D22" s="147" t="str">
        <f>IF(C24=0,"","5")</f>
        <v/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x14ac:dyDescent="0.25">
      <c r="A23" s="45"/>
      <c r="C23" s="45"/>
      <c r="D23" s="147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x14ac:dyDescent="0.25">
      <c r="A24" s="45"/>
      <c r="B24" s="45" t="s">
        <v>209</v>
      </c>
      <c r="C24" s="149">
        <v>0</v>
      </c>
      <c r="D24" s="147" t="str">
        <f>IF(C22=0,"","6")</f>
        <v>6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x14ac:dyDescent="0.25">
      <c r="A25" s="45"/>
      <c r="B25" s="45"/>
      <c r="C25" s="45"/>
      <c r="D25" s="147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x14ac:dyDescent="0.25">
      <c r="A26" s="45"/>
      <c r="B26" s="150"/>
      <c r="C26" s="45"/>
      <c r="D26" s="146"/>
      <c r="E26" s="45"/>
      <c r="F26" s="143" t="str">
        <f>IF(C18=0,"","x "&amp;C18)</f>
        <v>x 1</v>
      </c>
      <c r="G26" s="45"/>
      <c r="H26" s="45"/>
      <c r="I26" s="45" t="str">
        <f>IF(C20=0,"","x "&amp;C20)</f>
        <v>x 1</v>
      </c>
      <c r="J26" s="45"/>
      <c r="K26" s="45" t="str">
        <f>IF(C24=0,"","x "&amp;C24)</f>
        <v/>
      </c>
      <c r="L26" s="143" t="str">
        <f>IF(C22=0,"","x "&amp;C22)</f>
        <v>x 1</v>
      </c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ht="14.45" customHeight="1" x14ac:dyDescent="0.25">
      <c r="A27" s="45"/>
      <c r="B27" s="196" t="s">
        <v>199</v>
      </c>
      <c r="C27" s="195">
        <f>'Données Bur'!D19</f>
        <v>1176</v>
      </c>
      <c r="D27" s="145"/>
      <c r="E27" s="1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24" ht="14.45" customHeight="1" x14ac:dyDescent="0.25">
      <c r="A28" s="45"/>
      <c r="B28" s="196"/>
      <c r="C28" s="195"/>
      <c r="D28" s="145"/>
      <c r="E28" s="1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4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4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:24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1:24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1:24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38" spans="1:24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</row>
    <row r="39" spans="1:24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</row>
    <row r="40" spans="1:24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</row>
    <row r="41" spans="1:24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</row>
    <row r="42" spans="1:24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</row>
    <row r="43" spans="1:24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</row>
    <row r="44" spans="1:24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</row>
    <row r="45" spans="1:24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</row>
    <row r="46" spans="1:24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</row>
    <row r="47" spans="1:24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</row>
    <row r="48" spans="1:24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</row>
    <row r="49" spans="1:24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</row>
    <row r="50" spans="1:24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</row>
    <row r="51" spans="1:24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</row>
    <row r="52" spans="1:24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</row>
    <row r="53" spans="1:24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</row>
    <row r="54" spans="1:24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</row>
    <row r="55" spans="1:24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</row>
    <row r="56" spans="1:24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</row>
    <row r="57" spans="1:24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</row>
    <row r="58" spans="1:24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</row>
    <row r="59" spans="1:24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</row>
    <row r="60" spans="1:24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</row>
    <row r="61" spans="1:24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</row>
    <row r="62" spans="1:24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</row>
    <row r="63" spans="1:24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</row>
    <row r="64" spans="1:24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</row>
    <row r="65" spans="1:24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</row>
    <row r="66" spans="1:24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</row>
    <row r="67" spans="1:24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</row>
    <row r="68" spans="1:24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</row>
    <row r="69" spans="1:24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</row>
    <row r="70" spans="1:24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</row>
    <row r="71" spans="1:24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</row>
    <row r="72" spans="1:24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</row>
    <row r="73" spans="1:24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</row>
    <row r="74" spans="1:24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</row>
    <row r="75" spans="1:24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</row>
    <row r="76" spans="1:24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</row>
    <row r="77" spans="1:24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</row>
    <row r="78" spans="1:24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</row>
    <row r="79" spans="1:24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</row>
    <row r="80" spans="1:24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</row>
  </sheetData>
  <sheetProtection sheet="1" selectLockedCells="1"/>
  <mergeCells count="2">
    <mergeCell ref="B27:B28"/>
    <mergeCell ref="C27:C28"/>
  </mergeCells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4" r:id="rId4" name="Button 2">
              <controlPr defaultSize="0" print="0" autoFill="0" autoPict="0" macro="[0]!PDFBurFR">
                <anchor moveWithCells="1" sizeWithCells="1">
                  <from>
                    <xdr:col>3</xdr:col>
                    <xdr:colOff>695325</xdr:colOff>
                    <xdr:row>27</xdr:row>
                    <xdr:rowOff>66675</xdr:rowOff>
                  </from>
                  <to>
                    <xdr:col>5</xdr:col>
                    <xdr:colOff>762000</xdr:colOff>
                    <xdr:row>30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ECD16F7-AAB2-46BE-AFBB-463522C5D71E}">
          <x14:formula1>
            <xm:f>'Données Bur'!$F$6:$F$8</xm:f>
          </x14:formula1>
          <xm:sqref>C16</xm:sqref>
        </x14:dataValidation>
        <x14:dataValidation type="list" allowBlank="1" showInputMessage="1" showErrorMessage="1" xr:uid="{17764834-68D1-4BAB-A054-22503F501241}">
          <x14:formula1>
            <xm:f>'Données Bur'!$K$3:$K$64</xm:f>
          </x14:formula1>
          <xm:sqref>C13</xm:sqref>
        </x14:dataValidation>
        <x14:dataValidation type="list" allowBlank="1" showInputMessage="1" showErrorMessage="1" xr:uid="{450973F7-563E-4F51-8F5D-B72104394581}">
          <x14:formula1>
            <xm:f>'Données Bur'!$H$3:$H$184</xm:f>
          </x14:formula1>
          <xm:sqref>C11</xm:sqref>
        </x14:dataValidation>
        <x14:dataValidation type="list" allowBlank="1" showInputMessage="1" showErrorMessage="1" xr:uid="{459AC59E-C5BA-42E3-B3EB-DB58C0AD9A74}">
          <x14:formula1>
            <xm:f>'Données Bur'!$E$6:$E$8</xm:f>
          </x14:formula1>
          <xm:sqref>C9</xm:sqref>
        </x14:dataValidation>
        <x14:dataValidation type="list" allowBlank="1" showInputMessage="1" showErrorMessage="1" xr:uid="{15E2D78C-49C3-4402-AB41-B9051EE14E90}">
          <x14:formula1>
            <xm:f>'Données Bur'!$B$8:$B$11</xm:f>
          </x14:formula1>
          <xm:sqref>C18 C24:C25 C22 C20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9C2DA-783B-4C29-A5C2-6FBA2A785DBE}">
  <sheetPr codeName="Feuil17"/>
  <dimension ref="A3:X80"/>
  <sheetViews>
    <sheetView showRowColHeaders="0" workbookViewId="0">
      <selection activeCell="C9" sqref="C9"/>
    </sheetView>
  </sheetViews>
  <sheetFormatPr baseColWidth="10" defaultColWidth="11.5703125" defaultRowHeight="15" x14ac:dyDescent="0.25"/>
  <cols>
    <col min="1" max="1" width="11.5703125" style="25"/>
    <col min="2" max="2" width="35.5703125" style="25" bestFit="1" customWidth="1"/>
    <col min="3" max="3" width="25" style="25" bestFit="1" customWidth="1"/>
    <col min="4" max="16384" width="11.5703125" style="25"/>
  </cols>
  <sheetData>
    <row r="3" spans="1:24" ht="29.25" x14ac:dyDescent="0.25">
      <c r="D3" s="88" t="s">
        <v>219</v>
      </c>
    </row>
    <row r="7" spans="1:24" ht="19.5" x14ac:dyDescent="0.25">
      <c r="A7" s="87" t="s">
        <v>116</v>
      </c>
      <c r="D7" s="127"/>
    </row>
    <row r="8" spans="1:24" x14ac:dyDescent="0.25">
      <c r="A8" s="45"/>
      <c r="B8" s="45"/>
      <c r="C8" s="45"/>
      <c r="D8" s="146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</row>
    <row r="9" spans="1:24" x14ac:dyDescent="0.25">
      <c r="A9" s="45"/>
      <c r="B9" s="45" t="s">
        <v>220</v>
      </c>
      <c r="C9" s="148" t="s">
        <v>230</v>
      </c>
      <c r="D9" s="147" t="str">
        <f>IF(C9="Hoek bureeltablet 90°","2","1")</f>
        <v>1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x14ac:dyDescent="0.25">
      <c r="A10" s="45"/>
      <c r="B10" s="45"/>
      <c r="C10" s="45"/>
      <c r="D10" s="147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 x14ac:dyDescent="0.25">
      <c r="A11" s="45"/>
      <c r="B11" s="45" t="s">
        <v>222</v>
      </c>
      <c r="C11" s="149">
        <v>140</v>
      </c>
      <c r="D11" s="147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 ht="14.45" customHeight="1" x14ac:dyDescent="0.25">
      <c r="A12" s="45"/>
      <c r="B12" s="45"/>
      <c r="C12" s="45"/>
      <c r="D12" s="147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 ht="14.45" customHeight="1" x14ac:dyDescent="0.25">
      <c r="A13" s="45"/>
      <c r="B13" s="45" t="s">
        <v>223</v>
      </c>
      <c r="C13" s="148" t="s">
        <v>233</v>
      </c>
      <c r="D13" s="147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ht="14.45" customHeight="1" x14ac:dyDescent="0.25">
      <c r="A14" s="45"/>
      <c r="B14" s="144" t="s">
        <v>221</v>
      </c>
      <c r="C14" s="45"/>
      <c r="D14" s="147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ht="14.45" customHeight="1" x14ac:dyDescent="0.25">
      <c r="A15" s="45"/>
      <c r="B15" s="144"/>
      <c r="C15" s="45"/>
      <c r="D15" s="147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ht="14.45" customHeight="1" x14ac:dyDescent="0.25">
      <c r="A16" s="45"/>
      <c r="B16" s="45" t="s">
        <v>224</v>
      </c>
      <c r="C16" s="148" t="s">
        <v>233</v>
      </c>
      <c r="D16" s="147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ht="14.45" customHeight="1" x14ac:dyDescent="0.25">
      <c r="A17" s="45"/>
      <c r="B17" s="45"/>
      <c r="C17" s="45"/>
      <c r="D17" s="147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ht="14.45" customHeight="1" x14ac:dyDescent="0.25">
      <c r="A18" s="45"/>
      <c r="B18" s="45" t="s">
        <v>225</v>
      </c>
      <c r="C18" s="149">
        <v>1</v>
      </c>
      <c r="D18" s="147" t="str">
        <f>IF(C18=0,"","3")</f>
        <v>3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x14ac:dyDescent="0.25">
      <c r="A19" s="45"/>
      <c r="C19" s="45"/>
      <c r="D19" s="147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x14ac:dyDescent="0.25">
      <c r="A20" s="45"/>
      <c r="B20" s="45" t="s">
        <v>226</v>
      </c>
      <c r="C20" s="149">
        <v>2</v>
      </c>
      <c r="D20" s="147" t="str">
        <f>IF(C20=0,"","4")</f>
        <v>4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x14ac:dyDescent="0.25">
      <c r="A21" s="45"/>
      <c r="B21" s="150"/>
      <c r="C21" s="45"/>
      <c r="D21" s="147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 x14ac:dyDescent="0.25">
      <c r="A22" s="45"/>
      <c r="B22" s="45" t="s">
        <v>227</v>
      </c>
      <c r="C22" s="149">
        <v>1</v>
      </c>
      <c r="D22" s="147" t="str">
        <f>IF(C24=0,"","5")</f>
        <v/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x14ac:dyDescent="0.25">
      <c r="A23" s="45"/>
      <c r="C23" s="45"/>
      <c r="D23" s="147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x14ac:dyDescent="0.25">
      <c r="A24" s="45"/>
      <c r="B24" s="45" t="s">
        <v>228</v>
      </c>
      <c r="C24" s="149">
        <v>0</v>
      </c>
      <c r="D24" s="147" t="str">
        <f>IF(C22=0,"","6")</f>
        <v>6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x14ac:dyDescent="0.25">
      <c r="A25" s="45"/>
      <c r="B25" s="45"/>
      <c r="C25" s="45"/>
      <c r="D25" s="146"/>
      <c r="E25" s="45"/>
      <c r="F25" s="143" t="str">
        <f>IF(C18=0,"","x "&amp;C18)</f>
        <v>x 1</v>
      </c>
      <c r="G25" s="45"/>
      <c r="H25" s="45"/>
      <c r="I25" s="45" t="str">
        <f>IF(C20=0,"","x "&amp;C20)</f>
        <v>x 2</v>
      </c>
      <c r="J25" s="45"/>
      <c r="K25" s="45" t="str">
        <f>IF(C24=0,"","x "&amp;C24)</f>
        <v/>
      </c>
      <c r="L25" s="143" t="str">
        <f>IF(C22=0,"","x "&amp;C22)</f>
        <v>x 1</v>
      </c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x14ac:dyDescent="0.25">
      <c r="A26" s="45"/>
      <c r="B26" s="45"/>
      <c r="C26" s="45"/>
      <c r="D26" s="146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ht="14.45" customHeight="1" x14ac:dyDescent="0.25">
      <c r="A27" s="45"/>
      <c r="B27" s="196" t="s">
        <v>188</v>
      </c>
      <c r="C27" s="195">
        <f>'Données Bur'!E19</f>
        <v>1671</v>
      </c>
      <c r="D27" s="145"/>
      <c r="E27" s="1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24" ht="14.45" customHeight="1" x14ac:dyDescent="0.25">
      <c r="A28" s="45"/>
      <c r="B28" s="196"/>
      <c r="C28" s="195"/>
      <c r="D28" s="145"/>
      <c r="E28" s="1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4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4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:24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1:24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1:24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38" spans="1:24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</row>
    <row r="39" spans="1:24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</row>
    <row r="40" spans="1:24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</row>
    <row r="41" spans="1:24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</row>
    <row r="42" spans="1:24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</row>
    <row r="43" spans="1:24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</row>
    <row r="44" spans="1:24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</row>
    <row r="45" spans="1:24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</row>
    <row r="46" spans="1:24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</row>
    <row r="47" spans="1:24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</row>
    <row r="48" spans="1:24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</row>
    <row r="49" spans="1:24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</row>
    <row r="50" spans="1:24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</row>
    <row r="51" spans="1:24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</row>
    <row r="52" spans="1:24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</row>
    <row r="53" spans="1:24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</row>
    <row r="54" spans="1:24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</row>
    <row r="55" spans="1:24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</row>
    <row r="56" spans="1:24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</row>
    <row r="57" spans="1:24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</row>
    <row r="58" spans="1:24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</row>
    <row r="59" spans="1:24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</row>
    <row r="60" spans="1:24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</row>
    <row r="61" spans="1:24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</row>
    <row r="62" spans="1:24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</row>
    <row r="63" spans="1:24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</row>
    <row r="64" spans="1:24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</row>
    <row r="65" spans="1:24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</row>
    <row r="66" spans="1:24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</row>
    <row r="67" spans="1:24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</row>
    <row r="68" spans="1:24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</row>
    <row r="69" spans="1:24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</row>
    <row r="70" spans="1:24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</row>
    <row r="71" spans="1:24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</row>
    <row r="72" spans="1:24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</row>
    <row r="73" spans="1:24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</row>
    <row r="74" spans="1:24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</row>
    <row r="75" spans="1:24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</row>
    <row r="76" spans="1:24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</row>
    <row r="77" spans="1:24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</row>
    <row r="78" spans="1:24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</row>
    <row r="79" spans="1:24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</row>
    <row r="80" spans="1:24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</row>
  </sheetData>
  <sheetProtection sheet="1" selectLockedCells="1"/>
  <mergeCells count="2">
    <mergeCell ref="B27:B28"/>
    <mergeCell ref="C27:C28"/>
  </mergeCells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8" r:id="rId4" name="Button 2">
              <controlPr defaultSize="0" print="0" autoFill="0" autoPict="0" macro="[0]!PDFBurFR">
                <anchor moveWithCells="1" sizeWithCells="1">
                  <from>
                    <xdr:col>3</xdr:col>
                    <xdr:colOff>609600</xdr:colOff>
                    <xdr:row>26</xdr:row>
                    <xdr:rowOff>66675</xdr:rowOff>
                  </from>
                  <to>
                    <xdr:col>6</xdr:col>
                    <xdr:colOff>85725</xdr:colOff>
                    <xdr:row>30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654FF11-68E9-4993-B5B3-8DA7EB4255B5}">
          <x14:formula1>
            <xm:f>'Données Bur'!$B$8:$B$11</xm:f>
          </x14:formula1>
          <xm:sqref>C18 C24:C25 C22 C20</xm:sqref>
        </x14:dataValidation>
        <x14:dataValidation type="list" allowBlank="1" showInputMessage="1" showErrorMessage="1" xr:uid="{CF7E3679-1844-4C84-94C7-607D186FDB47}">
          <x14:formula1>
            <xm:f>'Données Bur'!$F$9:$F$11</xm:f>
          </x14:formula1>
          <xm:sqref>C16</xm:sqref>
        </x14:dataValidation>
        <x14:dataValidation type="list" allowBlank="1" showInputMessage="1" showErrorMessage="1" xr:uid="{3E8575A4-4548-4F74-B0F0-B0D19F67BC33}">
          <x14:formula1>
            <xm:f>'Données Bur'!$L$3:$L$64</xm:f>
          </x14:formula1>
          <xm:sqref>C13</xm:sqref>
        </x14:dataValidation>
        <x14:dataValidation type="list" allowBlank="1" showInputMessage="1" showErrorMessage="1" xr:uid="{58E4482C-6807-4B5C-A4AB-FE0FA7C4F8D8}">
          <x14:formula1>
            <xm:f>'Données Bur'!$H$3:$H$184</xm:f>
          </x14:formula1>
          <xm:sqref>C11</xm:sqref>
        </x14:dataValidation>
        <x14:dataValidation type="list" allowBlank="1" showInputMessage="1" showErrorMessage="1" xr:uid="{71553AE1-E150-4531-8C09-B115C2E4B5E0}">
          <x14:formula1>
            <xm:f>'Données Bur'!$E$9:$E$11</xm:f>
          </x14:formula1>
          <xm:sqref>C9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FA69F-928C-4F71-B528-896AF817E8A8}">
  <sheetPr codeName="Feuil18"/>
  <dimension ref="A1:Q184"/>
  <sheetViews>
    <sheetView zoomScaleNormal="100" workbookViewId="0">
      <selection activeCell="C18" sqref="C18"/>
    </sheetView>
  </sheetViews>
  <sheetFormatPr baseColWidth="10" defaultRowHeight="15" x14ac:dyDescent="0.25"/>
  <cols>
    <col min="2" max="3" width="23.140625" bestFit="1" customWidth="1"/>
    <col min="5" max="5" width="21.28515625" customWidth="1"/>
    <col min="6" max="6" width="17.85546875" customWidth="1"/>
    <col min="18" max="18" width="45.42578125" customWidth="1"/>
  </cols>
  <sheetData>
    <row r="1" spans="1:14" x14ac:dyDescent="0.25">
      <c r="B1" s="130" t="s">
        <v>236</v>
      </c>
    </row>
    <row r="2" spans="1:14" ht="45" x14ac:dyDescent="0.25">
      <c r="A2" t="s">
        <v>178</v>
      </c>
      <c r="B2" t="s">
        <v>56</v>
      </c>
      <c r="E2" s="42" t="s">
        <v>174</v>
      </c>
      <c r="F2" s="42" t="s">
        <v>195</v>
      </c>
      <c r="H2" s="128" t="s">
        <v>172</v>
      </c>
      <c r="I2" t="s">
        <v>56</v>
      </c>
      <c r="J2" s="128" t="s">
        <v>216</v>
      </c>
      <c r="K2" s="128" t="s">
        <v>217</v>
      </c>
      <c r="L2" s="128" t="s">
        <v>218</v>
      </c>
      <c r="M2" s="128" t="s">
        <v>173</v>
      </c>
      <c r="N2" s="128" t="s">
        <v>56</v>
      </c>
    </row>
    <row r="3" spans="1:14" x14ac:dyDescent="0.25">
      <c r="A3" t="s">
        <v>167</v>
      </c>
      <c r="B3">
        <v>495</v>
      </c>
      <c r="D3" s="197" t="s">
        <v>163</v>
      </c>
      <c r="E3" s="129" t="s">
        <v>176</v>
      </c>
      <c r="F3" s="129" t="s">
        <v>189</v>
      </c>
      <c r="H3" s="129" t="s">
        <v>176</v>
      </c>
      <c r="J3" s="129" t="s">
        <v>189</v>
      </c>
      <c r="K3" s="142" t="s">
        <v>213</v>
      </c>
      <c r="L3" s="142" t="s">
        <v>233</v>
      </c>
      <c r="M3" s="129" t="s">
        <v>176</v>
      </c>
    </row>
    <row r="4" spans="1:14" x14ac:dyDescent="0.25">
      <c r="A4" t="s">
        <v>168</v>
      </c>
      <c r="B4">
        <v>495</v>
      </c>
      <c r="D4" s="197"/>
      <c r="E4" t="s">
        <v>175</v>
      </c>
      <c r="F4" t="s">
        <v>196</v>
      </c>
      <c r="H4">
        <v>60</v>
      </c>
      <c r="I4">
        <v>220</v>
      </c>
      <c r="J4" s="128">
        <v>60</v>
      </c>
      <c r="K4" s="128">
        <v>60</v>
      </c>
      <c r="L4" s="128">
        <v>60</v>
      </c>
      <c r="M4" s="128">
        <v>60</v>
      </c>
      <c r="N4">
        <v>400</v>
      </c>
    </row>
    <row r="5" spans="1:14" x14ac:dyDescent="0.25">
      <c r="A5" t="s">
        <v>169</v>
      </c>
      <c r="B5">
        <v>88</v>
      </c>
      <c r="D5" s="197"/>
      <c r="E5" t="s">
        <v>177</v>
      </c>
      <c r="F5" t="s">
        <v>197</v>
      </c>
      <c r="H5">
        <v>61</v>
      </c>
      <c r="I5">
        <v>220</v>
      </c>
      <c r="J5">
        <v>61</v>
      </c>
      <c r="K5">
        <v>61</v>
      </c>
      <c r="L5">
        <v>61</v>
      </c>
      <c r="M5">
        <v>61</v>
      </c>
      <c r="N5">
        <v>400</v>
      </c>
    </row>
    <row r="6" spans="1:14" x14ac:dyDescent="0.25">
      <c r="A6" t="s">
        <v>170</v>
      </c>
      <c r="B6">
        <v>200</v>
      </c>
      <c r="D6" s="197" t="s">
        <v>164</v>
      </c>
      <c r="E6" s="129" t="s">
        <v>210</v>
      </c>
      <c r="F6" s="129" t="s">
        <v>213</v>
      </c>
      <c r="H6">
        <v>62</v>
      </c>
      <c r="I6">
        <v>220</v>
      </c>
      <c r="J6" s="128">
        <v>62</v>
      </c>
      <c r="K6" s="128">
        <v>62</v>
      </c>
      <c r="L6" s="128">
        <v>62</v>
      </c>
      <c r="M6" s="128">
        <v>62</v>
      </c>
      <c r="N6">
        <v>400</v>
      </c>
    </row>
    <row r="7" spans="1:14" x14ac:dyDescent="0.25">
      <c r="D7" s="197"/>
      <c r="E7" t="s">
        <v>211</v>
      </c>
      <c r="F7" t="s">
        <v>214</v>
      </c>
      <c r="H7">
        <v>63</v>
      </c>
      <c r="I7">
        <v>220</v>
      </c>
      <c r="J7">
        <v>63</v>
      </c>
      <c r="K7">
        <v>63</v>
      </c>
      <c r="L7">
        <v>63</v>
      </c>
      <c r="M7">
        <v>63</v>
      </c>
      <c r="N7">
        <v>400</v>
      </c>
    </row>
    <row r="8" spans="1:14" x14ac:dyDescent="0.25">
      <c r="A8" t="s">
        <v>181</v>
      </c>
      <c r="B8" s="129">
        <v>0</v>
      </c>
      <c r="D8" s="197"/>
      <c r="E8" t="s">
        <v>212</v>
      </c>
      <c r="F8" t="s">
        <v>215</v>
      </c>
      <c r="H8">
        <v>64</v>
      </c>
      <c r="I8">
        <v>220</v>
      </c>
      <c r="J8" s="128">
        <v>64</v>
      </c>
      <c r="K8" s="128">
        <v>64</v>
      </c>
      <c r="L8" s="128">
        <v>64</v>
      </c>
      <c r="M8" s="128">
        <v>64</v>
      </c>
      <c r="N8">
        <v>400</v>
      </c>
    </row>
    <row r="9" spans="1:14" x14ac:dyDescent="0.25">
      <c r="B9">
        <v>1</v>
      </c>
      <c r="D9" s="197" t="s">
        <v>165</v>
      </c>
      <c r="E9" s="129" t="s">
        <v>229</v>
      </c>
      <c r="F9" s="129" t="s">
        <v>233</v>
      </c>
      <c r="H9">
        <v>65</v>
      </c>
      <c r="I9">
        <v>220</v>
      </c>
      <c r="J9">
        <v>65</v>
      </c>
      <c r="K9">
        <v>65</v>
      </c>
      <c r="L9">
        <v>65</v>
      </c>
      <c r="M9">
        <v>65</v>
      </c>
      <c r="N9">
        <v>400</v>
      </c>
    </row>
    <row r="10" spans="1:14" x14ac:dyDescent="0.25">
      <c r="B10">
        <v>2</v>
      </c>
      <c r="D10" s="197"/>
      <c r="E10" t="s">
        <v>230</v>
      </c>
      <c r="F10" t="s">
        <v>234</v>
      </c>
      <c r="H10">
        <v>66</v>
      </c>
      <c r="I10">
        <v>220</v>
      </c>
      <c r="J10" s="128">
        <v>66</v>
      </c>
      <c r="K10" s="128">
        <v>66</v>
      </c>
      <c r="L10" s="128">
        <v>66</v>
      </c>
      <c r="M10" s="128">
        <v>66</v>
      </c>
      <c r="N10">
        <v>400</v>
      </c>
    </row>
    <row r="11" spans="1:14" x14ac:dyDescent="0.25">
      <c r="B11">
        <v>3</v>
      </c>
      <c r="D11" s="197"/>
      <c r="E11" t="s">
        <v>232</v>
      </c>
      <c r="F11" t="s">
        <v>235</v>
      </c>
      <c r="H11">
        <v>67</v>
      </c>
      <c r="I11">
        <v>220</v>
      </c>
      <c r="J11">
        <v>67</v>
      </c>
      <c r="K11">
        <v>67</v>
      </c>
      <c r="L11">
        <v>67</v>
      </c>
      <c r="M11">
        <v>67</v>
      </c>
      <c r="N11">
        <v>400</v>
      </c>
    </row>
    <row r="12" spans="1:14" ht="15.75" thickBot="1" x14ac:dyDescent="0.3">
      <c r="H12">
        <v>68</v>
      </c>
      <c r="I12">
        <v>220</v>
      </c>
      <c r="J12" s="128">
        <v>68</v>
      </c>
      <c r="K12" s="128">
        <v>68</v>
      </c>
      <c r="L12" s="128">
        <v>68</v>
      </c>
      <c r="M12" s="128">
        <v>68</v>
      </c>
      <c r="N12">
        <v>400</v>
      </c>
    </row>
    <row r="13" spans="1:14" ht="15.75" thickBot="1" x14ac:dyDescent="0.3">
      <c r="B13" s="131"/>
      <c r="C13" s="136" t="s">
        <v>185</v>
      </c>
      <c r="D13" s="137" t="s">
        <v>186</v>
      </c>
      <c r="E13" s="136" t="s">
        <v>187</v>
      </c>
      <c r="H13">
        <v>69</v>
      </c>
      <c r="I13">
        <v>220</v>
      </c>
      <c r="J13">
        <v>69</v>
      </c>
      <c r="K13">
        <v>69</v>
      </c>
      <c r="L13">
        <v>69</v>
      </c>
      <c r="M13">
        <v>69</v>
      </c>
      <c r="N13">
        <v>400</v>
      </c>
    </row>
    <row r="14" spans="1:14" x14ac:dyDescent="0.25">
      <c r="A14" s="130" t="s">
        <v>182</v>
      </c>
      <c r="B14" s="132" t="s">
        <v>183</v>
      </c>
      <c r="C14" s="135">
        <f>IF('Calcu Bur FR'!C13="- Pas de retour -",VLOOKUP('Calcu Bur FR'!C11,'Données Bur'!H4:I184,2,FALSE),VLOOKUP('Calcu Bur FR'!C11,'Données Bur'!M4:N184,2,FALSE))</f>
        <v>98</v>
      </c>
      <c r="D14" s="135">
        <f>IF('Calcu Bur EN'!C13="- Without return -",VLOOKUP('Calcu Bur EN'!C11,'Données Bur'!H4:I184,2,FALSE),VLOOKUP('Calcu Bur EN'!C11,'Données Bur'!M4:N184,2,FALSE))</f>
        <v>98</v>
      </c>
      <c r="E14" s="135">
        <f>IF('Calcu Bur ND'!C13="- Geen terug -",VLOOKUP('Calcu Bur ND'!C11,'Données Bur'!H4:I184,2,FALSE),VLOOKUP('Calcu Bur ND'!C11,'Données Bur'!M4:N184,2,FALSE))</f>
        <v>98</v>
      </c>
      <c r="H14">
        <v>70</v>
      </c>
      <c r="I14">
        <v>220</v>
      </c>
      <c r="J14" s="128">
        <v>70</v>
      </c>
      <c r="K14" s="128">
        <v>70</v>
      </c>
      <c r="L14" s="128">
        <v>70</v>
      </c>
      <c r="M14" s="128">
        <v>70</v>
      </c>
      <c r="N14">
        <v>400</v>
      </c>
    </row>
    <row r="15" spans="1:14" x14ac:dyDescent="0.25">
      <c r="B15" s="133" t="s">
        <v>167</v>
      </c>
      <c r="C15" s="134">
        <f>B3*'Calcu Bur FR'!C18</f>
        <v>495</v>
      </c>
      <c r="D15" s="134">
        <f>B3*'Calcu Bur EN'!C18</f>
        <v>495</v>
      </c>
      <c r="E15" s="134">
        <f>B3*'Calcu Bur ND'!C18</f>
        <v>495</v>
      </c>
      <c r="H15">
        <v>71</v>
      </c>
      <c r="I15">
        <v>220</v>
      </c>
      <c r="J15">
        <v>71</v>
      </c>
      <c r="K15">
        <v>71</v>
      </c>
      <c r="L15">
        <v>71</v>
      </c>
      <c r="M15">
        <v>71</v>
      </c>
      <c r="N15">
        <v>400</v>
      </c>
    </row>
    <row r="16" spans="1:14" x14ac:dyDescent="0.25">
      <c r="B16" s="132" t="s">
        <v>168</v>
      </c>
      <c r="C16" s="134">
        <f>B4*'Calcu Bur FR'!C20</f>
        <v>495</v>
      </c>
      <c r="D16" s="134">
        <f>B4*'Calcu Bur EN'!C20</f>
        <v>495</v>
      </c>
      <c r="E16" s="134">
        <f>B4*'Calcu Bur ND'!C20</f>
        <v>990</v>
      </c>
      <c r="H16">
        <v>72</v>
      </c>
      <c r="I16">
        <v>220</v>
      </c>
      <c r="J16" s="128">
        <v>72</v>
      </c>
      <c r="K16" s="128">
        <v>72</v>
      </c>
      <c r="L16" s="128">
        <v>72</v>
      </c>
      <c r="M16" s="128">
        <v>72</v>
      </c>
      <c r="N16">
        <v>400</v>
      </c>
    </row>
    <row r="17" spans="2:17" x14ac:dyDescent="0.25">
      <c r="B17" s="133" t="s">
        <v>169</v>
      </c>
      <c r="C17" s="134">
        <f>B5*'Calcu Bur FR'!C22</f>
        <v>88</v>
      </c>
      <c r="D17" s="134">
        <f>B5*'Calcu Bur EN'!C22</f>
        <v>88</v>
      </c>
      <c r="E17" s="134">
        <f>B5*'Calcu Bur ND'!C22</f>
        <v>88</v>
      </c>
      <c r="H17">
        <v>73</v>
      </c>
      <c r="I17">
        <v>220</v>
      </c>
      <c r="J17">
        <v>73</v>
      </c>
      <c r="K17">
        <v>73</v>
      </c>
      <c r="L17">
        <v>73</v>
      </c>
      <c r="M17">
        <v>73</v>
      </c>
      <c r="N17">
        <v>400</v>
      </c>
    </row>
    <row r="18" spans="2:17" ht="15.75" thickBot="1" x14ac:dyDescent="0.3">
      <c r="B18" s="138" t="s">
        <v>170</v>
      </c>
      <c r="C18" s="139">
        <f>B6*'Calcu Bur FR'!C24</f>
        <v>0</v>
      </c>
      <c r="D18" s="139">
        <f>B6*'Calcu Bur EN'!C24</f>
        <v>0</v>
      </c>
      <c r="E18" s="139">
        <f>B6*'Calcu Bur ND'!C24</f>
        <v>0</v>
      </c>
      <c r="H18">
        <v>74</v>
      </c>
      <c r="I18">
        <v>220</v>
      </c>
      <c r="J18" s="128">
        <v>74</v>
      </c>
      <c r="K18" s="128">
        <v>74</v>
      </c>
      <c r="L18" s="128">
        <v>74</v>
      </c>
      <c r="M18" s="128">
        <v>74</v>
      </c>
      <c r="N18">
        <v>400</v>
      </c>
    </row>
    <row r="19" spans="2:17" ht="15.75" thickBot="1" x14ac:dyDescent="0.3">
      <c r="B19" s="140" t="s">
        <v>184</v>
      </c>
      <c r="C19" s="141">
        <f>SUM(C14:C18)</f>
        <v>1176</v>
      </c>
      <c r="D19" s="141">
        <f>SUM(D14:D18)</f>
        <v>1176</v>
      </c>
      <c r="E19" s="141">
        <f>SUM(E14:E18)</f>
        <v>1671</v>
      </c>
      <c r="H19">
        <v>75</v>
      </c>
      <c r="I19">
        <v>220</v>
      </c>
      <c r="J19">
        <v>75</v>
      </c>
      <c r="K19">
        <v>75</v>
      </c>
      <c r="L19">
        <v>75</v>
      </c>
      <c r="M19">
        <v>75</v>
      </c>
      <c r="N19">
        <v>400</v>
      </c>
    </row>
    <row r="20" spans="2:17" x14ac:dyDescent="0.25">
      <c r="H20">
        <v>76</v>
      </c>
      <c r="I20">
        <v>220</v>
      </c>
      <c r="J20" s="128">
        <v>76</v>
      </c>
      <c r="K20" s="128">
        <v>76</v>
      </c>
      <c r="L20" s="128">
        <v>76</v>
      </c>
      <c r="M20" s="128">
        <v>76</v>
      </c>
      <c r="N20">
        <v>400</v>
      </c>
    </row>
    <row r="21" spans="2:17" x14ac:dyDescent="0.25">
      <c r="E21" t="s">
        <v>231</v>
      </c>
      <c r="F21" t="str">
        <f>LOWER(E21)</f>
        <v>hoek bureeltablet</v>
      </c>
      <c r="H21">
        <v>77</v>
      </c>
      <c r="I21">
        <v>220</v>
      </c>
      <c r="J21">
        <v>77</v>
      </c>
      <c r="K21">
        <v>77</v>
      </c>
      <c r="L21">
        <v>77</v>
      </c>
      <c r="M21">
        <v>77</v>
      </c>
      <c r="N21">
        <v>400</v>
      </c>
    </row>
    <row r="22" spans="2:17" x14ac:dyDescent="0.25">
      <c r="H22">
        <v>78</v>
      </c>
      <c r="I22">
        <v>220</v>
      </c>
      <c r="J22" s="128">
        <v>78</v>
      </c>
      <c r="K22" s="128">
        <v>78</v>
      </c>
      <c r="L22" s="128">
        <v>78</v>
      </c>
      <c r="M22" s="128">
        <v>78</v>
      </c>
      <c r="N22">
        <v>400</v>
      </c>
    </row>
    <row r="23" spans="2:17" ht="146.25" customHeight="1" x14ac:dyDescent="0.25">
      <c r="H23">
        <v>79</v>
      </c>
      <c r="I23">
        <v>220</v>
      </c>
      <c r="J23">
        <v>79</v>
      </c>
      <c r="K23">
        <v>79</v>
      </c>
      <c r="L23">
        <v>79</v>
      </c>
      <c r="M23">
        <v>79</v>
      </c>
      <c r="N23">
        <v>400</v>
      </c>
      <c r="Q23">
        <v>1</v>
      </c>
    </row>
    <row r="24" spans="2:17" ht="142.5" customHeight="1" x14ac:dyDescent="0.25">
      <c r="H24">
        <v>80</v>
      </c>
      <c r="I24">
        <v>220</v>
      </c>
      <c r="J24" s="128">
        <v>80</v>
      </c>
      <c r="K24" s="128">
        <v>80</v>
      </c>
      <c r="L24" s="128">
        <v>80</v>
      </c>
      <c r="M24" s="128">
        <v>80</v>
      </c>
      <c r="N24">
        <v>400</v>
      </c>
      <c r="Q24">
        <v>2</v>
      </c>
    </row>
    <row r="25" spans="2:17" ht="132" customHeight="1" x14ac:dyDescent="0.25">
      <c r="H25">
        <v>81</v>
      </c>
      <c r="I25">
        <v>220</v>
      </c>
      <c r="J25">
        <v>81</v>
      </c>
      <c r="K25">
        <v>81</v>
      </c>
      <c r="L25">
        <v>81</v>
      </c>
      <c r="M25">
        <v>81</v>
      </c>
      <c r="N25">
        <v>400</v>
      </c>
      <c r="Q25">
        <v>3</v>
      </c>
    </row>
    <row r="26" spans="2:17" ht="141.75" customHeight="1" x14ac:dyDescent="0.25">
      <c r="H26">
        <v>82</v>
      </c>
      <c r="I26">
        <v>220</v>
      </c>
      <c r="J26" s="128">
        <v>82</v>
      </c>
      <c r="K26" s="128">
        <v>82</v>
      </c>
      <c r="L26" s="128">
        <v>82</v>
      </c>
      <c r="M26" s="128">
        <v>82</v>
      </c>
      <c r="N26">
        <v>400</v>
      </c>
      <c r="Q26">
        <v>4</v>
      </c>
    </row>
    <row r="27" spans="2:17" ht="120.75" customHeight="1" x14ac:dyDescent="0.25">
      <c r="H27">
        <v>83</v>
      </c>
      <c r="I27">
        <v>220</v>
      </c>
      <c r="J27">
        <v>83</v>
      </c>
      <c r="K27">
        <v>83</v>
      </c>
      <c r="L27">
        <v>83</v>
      </c>
      <c r="M27">
        <v>83</v>
      </c>
      <c r="N27">
        <v>400</v>
      </c>
      <c r="Q27">
        <v>5</v>
      </c>
    </row>
    <row r="28" spans="2:17" ht="114.75" customHeight="1" x14ac:dyDescent="0.25">
      <c r="H28">
        <v>84</v>
      </c>
      <c r="I28">
        <v>220</v>
      </c>
      <c r="J28" s="128">
        <v>84</v>
      </c>
      <c r="K28" s="128">
        <v>84</v>
      </c>
      <c r="L28" s="128">
        <v>84</v>
      </c>
      <c r="M28" s="128">
        <v>84</v>
      </c>
      <c r="N28">
        <v>400</v>
      </c>
      <c r="Q28">
        <v>6</v>
      </c>
    </row>
    <row r="29" spans="2:17" x14ac:dyDescent="0.25">
      <c r="H29">
        <v>85</v>
      </c>
      <c r="I29">
        <v>220</v>
      </c>
      <c r="J29">
        <v>85</v>
      </c>
      <c r="K29">
        <v>85</v>
      </c>
      <c r="L29">
        <v>85</v>
      </c>
      <c r="M29">
        <v>85</v>
      </c>
      <c r="N29">
        <v>400</v>
      </c>
    </row>
    <row r="30" spans="2:17" x14ac:dyDescent="0.25">
      <c r="H30">
        <v>86</v>
      </c>
      <c r="I30">
        <v>220</v>
      </c>
      <c r="J30" s="128">
        <v>86</v>
      </c>
      <c r="K30" s="128">
        <v>86</v>
      </c>
      <c r="L30" s="128">
        <v>86</v>
      </c>
      <c r="M30" s="128">
        <v>86</v>
      </c>
      <c r="N30">
        <v>400</v>
      </c>
    </row>
    <row r="31" spans="2:17" x14ac:dyDescent="0.25">
      <c r="H31">
        <v>87</v>
      </c>
      <c r="I31">
        <v>220</v>
      </c>
      <c r="J31">
        <v>87</v>
      </c>
      <c r="K31">
        <v>87</v>
      </c>
      <c r="L31">
        <v>87</v>
      </c>
      <c r="M31">
        <v>87</v>
      </c>
      <c r="N31">
        <v>400</v>
      </c>
    </row>
    <row r="32" spans="2:17" x14ac:dyDescent="0.25">
      <c r="H32">
        <v>88</v>
      </c>
      <c r="I32">
        <v>220</v>
      </c>
      <c r="J32" s="128">
        <v>88</v>
      </c>
      <c r="K32" s="128">
        <v>88</v>
      </c>
      <c r="L32" s="128">
        <v>88</v>
      </c>
      <c r="M32" s="128">
        <v>88</v>
      </c>
      <c r="N32">
        <v>400</v>
      </c>
    </row>
    <row r="33" spans="8:14" x14ac:dyDescent="0.25">
      <c r="H33">
        <v>89</v>
      </c>
      <c r="I33">
        <v>220</v>
      </c>
      <c r="J33">
        <v>89</v>
      </c>
      <c r="K33">
        <v>89</v>
      </c>
      <c r="L33">
        <v>89</v>
      </c>
      <c r="M33">
        <v>89</v>
      </c>
      <c r="N33">
        <v>400</v>
      </c>
    </row>
    <row r="34" spans="8:14" x14ac:dyDescent="0.25">
      <c r="H34">
        <v>90</v>
      </c>
      <c r="I34">
        <v>220</v>
      </c>
      <c r="J34" s="128">
        <v>90</v>
      </c>
      <c r="K34" s="128">
        <v>90</v>
      </c>
      <c r="L34" s="128">
        <v>90</v>
      </c>
      <c r="M34" s="128">
        <v>90</v>
      </c>
      <c r="N34">
        <v>400</v>
      </c>
    </row>
    <row r="35" spans="8:14" x14ac:dyDescent="0.25">
      <c r="H35">
        <v>91</v>
      </c>
      <c r="I35">
        <v>220</v>
      </c>
      <c r="J35">
        <v>91</v>
      </c>
      <c r="K35">
        <v>91</v>
      </c>
      <c r="L35">
        <v>91</v>
      </c>
      <c r="M35">
        <v>91</v>
      </c>
      <c r="N35">
        <v>400</v>
      </c>
    </row>
    <row r="36" spans="8:14" x14ac:dyDescent="0.25">
      <c r="H36">
        <v>92</v>
      </c>
      <c r="I36">
        <v>220</v>
      </c>
      <c r="J36" s="128">
        <v>92</v>
      </c>
      <c r="K36" s="128">
        <v>92</v>
      </c>
      <c r="L36" s="128">
        <v>92</v>
      </c>
      <c r="M36" s="128">
        <v>92</v>
      </c>
      <c r="N36">
        <v>400</v>
      </c>
    </row>
    <row r="37" spans="8:14" x14ac:dyDescent="0.25">
      <c r="H37">
        <v>93</v>
      </c>
      <c r="I37">
        <v>220</v>
      </c>
      <c r="J37">
        <v>93</v>
      </c>
      <c r="K37">
        <v>93</v>
      </c>
      <c r="L37">
        <v>93</v>
      </c>
      <c r="M37">
        <v>93</v>
      </c>
      <c r="N37">
        <v>400</v>
      </c>
    </row>
    <row r="38" spans="8:14" x14ac:dyDescent="0.25">
      <c r="H38">
        <v>94</v>
      </c>
      <c r="I38">
        <v>220</v>
      </c>
      <c r="J38" s="128">
        <v>94</v>
      </c>
      <c r="K38" s="128">
        <v>94</v>
      </c>
      <c r="L38" s="128">
        <v>94</v>
      </c>
      <c r="M38" s="128">
        <v>94</v>
      </c>
      <c r="N38">
        <v>400</v>
      </c>
    </row>
    <row r="39" spans="8:14" x14ac:dyDescent="0.25">
      <c r="H39">
        <v>95</v>
      </c>
      <c r="I39">
        <v>220</v>
      </c>
      <c r="J39">
        <v>95</v>
      </c>
      <c r="K39">
        <v>95</v>
      </c>
      <c r="L39">
        <v>95</v>
      </c>
      <c r="M39">
        <v>95</v>
      </c>
      <c r="N39">
        <v>400</v>
      </c>
    </row>
    <row r="40" spans="8:14" x14ac:dyDescent="0.25">
      <c r="H40">
        <v>96</v>
      </c>
      <c r="I40">
        <v>220</v>
      </c>
      <c r="J40" s="128">
        <v>96</v>
      </c>
      <c r="K40" s="128">
        <v>96</v>
      </c>
      <c r="L40" s="128">
        <v>96</v>
      </c>
      <c r="M40" s="128">
        <v>96</v>
      </c>
      <c r="N40">
        <v>400</v>
      </c>
    </row>
    <row r="41" spans="8:14" x14ac:dyDescent="0.25">
      <c r="H41">
        <v>97</v>
      </c>
      <c r="I41">
        <v>220</v>
      </c>
      <c r="J41">
        <v>97</v>
      </c>
      <c r="K41">
        <v>97</v>
      </c>
      <c r="L41">
        <v>97</v>
      </c>
      <c r="M41">
        <v>97</v>
      </c>
      <c r="N41">
        <v>400</v>
      </c>
    </row>
    <row r="42" spans="8:14" x14ac:dyDescent="0.25">
      <c r="H42">
        <v>98</v>
      </c>
      <c r="I42">
        <v>220</v>
      </c>
      <c r="J42" s="128">
        <v>98</v>
      </c>
      <c r="K42" s="128">
        <v>98</v>
      </c>
      <c r="L42" s="128">
        <v>98</v>
      </c>
      <c r="M42" s="128">
        <v>98</v>
      </c>
      <c r="N42">
        <v>400</v>
      </c>
    </row>
    <row r="43" spans="8:14" x14ac:dyDescent="0.25">
      <c r="H43">
        <v>99</v>
      </c>
      <c r="I43">
        <v>220</v>
      </c>
      <c r="J43">
        <v>99</v>
      </c>
      <c r="K43">
        <v>99</v>
      </c>
      <c r="L43">
        <v>99</v>
      </c>
      <c r="M43">
        <v>99</v>
      </c>
      <c r="N43">
        <v>400</v>
      </c>
    </row>
    <row r="44" spans="8:14" x14ac:dyDescent="0.25">
      <c r="H44">
        <v>100</v>
      </c>
      <c r="I44">
        <v>220</v>
      </c>
      <c r="J44" s="128">
        <v>100</v>
      </c>
      <c r="K44" s="128">
        <v>100</v>
      </c>
      <c r="L44" s="128">
        <v>100</v>
      </c>
      <c r="M44" s="128">
        <v>100</v>
      </c>
      <c r="N44">
        <v>400</v>
      </c>
    </row>
    <row r="45" spans="8:14" x14ac:dyDescent="0.25">
      <c r="H45">
        <v>101</v>
      </c>
      <c r="I45">
        <v>220</v>
      </c>
      <c r="J45">
        <v>101</v>
      </c>
      <c r="K45">
        <v>101</v>
      </c>
      <c r="L45">
        <v>101</v>
      </c>
      <c r="M45">
        <v>101</v>
      </c>
      <c r="N45">
        <v>400</v>
      </c>
    </row>
    <row r="46" spans="8:14" x14ac:dyDescent="0.25">
      <c r="H46">
        <v>102</v>
      </c>
      <c r="I46">
        <v>220</v>
      </c>
      <c r="J46" s="128">
        <v>102</v>
      </c>
      <c r="K46" s="128">
        <v>102</v>
      </c>
      <c r="L46" s="128">
        <v>102</v>
      </c>
      <c r="M46" s="128">
        <v>102</v>
      </c>
      <c r="N46">
        <v>400</v>
      </c>
    </row>
    <row r="47" spans="8:14" x14ac:dyDescent="0.25">
      <c r="H47">
        <v>103</v>
      </c>
      <c r="I47">
        <v>220</v>
      </c>
      <c r="J47">
        <v>103</v>
      </c>
      <c r="K47">
        <v>103</v>
      </c>
      <c r="L47">
        <v>103</v>
      </c>
      <c r="M47">
        <v>103</v>
      </c>
      <c r="N47">
        <v>400</v>
      </c>
    </row>
    <row r="48" spans="8:14" x14ac:dyDescent="0.25">
      <c r="H48">
        <v>104</v>
      </c>
      <c r="I48">
        <v>220</v>
      </c>
      <c r="J48" s="128">
        <v>104</v>
      </c>
      <c r="K48" s="128">
        <v>104</v>
      </c>
      <c r="L48" s="128">
        <v>104</v>
      </c>
      <c r="M48" s="128">
        <v>104</v>
      </c>
      <c r="N48">
        <v>400</v>
      </c>
    </row>
    <row r="49" spans="8:14" x14ac:dyDescent="0.25">
      <c r="H49">
        <v>105</v>
      </c>
      <c r="I49">
        <v>220</v>
      </c>
      <c r="J49">
        <v>105</v>
      </c>
      <c r="K49">
        <v>105</v>
      </c>
      <c r="L49">
        <v>105</v>
      </c>
      <c r="M49">
        <v>105</v>
      </c>
      <c r="N49">
        <v>400</v>
      </c>
    </row>
    <row r="50" spans="8:14" x14ac:dyDescent="0.25">
      <c r="H50">
        <v>106</v>
      </c>
      <c r="I50">
        <v>220</v>
      </c>
      <c r="J50" s="128">
        <v>106</v>
      </c>
      <c r="K50" s="128">
        <v>106</v>
      </c>
      <c r="L50" s="128">
        <v>106</v>
      </c>
      <c r="M50" s="128">
        <v>106</v>
      </c>
      <c r="N50">
        <v>400</v>
      </c>
    </row>
    <row r="51" spans="8:14" x14ac:dyDescent="0.25">
      <c r="H51">
        <v>107</v>
      </c>
      <c r="I51">
        <v>220</v>
      </c>
      <c r="J51">
        <v>107</v>
      </c>
      <c r="K51">
        <v>107</v>
      </c>
      <c r="L51">
        <v>107</v>
      </c>
      <c r="M51">
        <v>107</v>
      </c>
      <c r="N51">
        <v>400</v>
      </c>
    </row>
    <row r="52" spans="8:14" x14ac:dyDescent="0.25">
      <c r="H52">
        <v>108</v>
      </c>
      <c r="I52">
        <v>220</v>
      </c>
      <c r="J52" s="128">
        <v>108</v>
      </c>
      <c r="K52" s="128">
        <v>108</v>
      </c>
      <c r="L52" s="128">
        <v>108</v>
      </c>
      <c r="M52" s="128">
        <v>108</v>
      </c>
      <c r="N52">
        <v>400</v>
      </c>
    </row>
    <row r="53" spans="8:14" x14ac:dyDescent="0.25">
      <c r="H53">
        <v>109</v>
      </c>
      <c r="I53">
        <v>220</v>
      </c>
      <c r="J53">
        <v>109</v>
      </c>
      <c r="K53">
        <v>109</v>
      </c>
      <c r="L53">
        <v>109</v>
      </c>
      <c r="M53">
        <v>109</v>
      </c>
      <c r="N53">
        <v>400</v>
      </c>
    </row>
    <row r="54" spans="8:14" x14ac:dyDescent="0.25">
      <c r="H54">
        <v>110</v>
      </c>
      <c r="I54">
        <v>220</v>
      </c>
      <c r="J54" s="128">
        <v>110</v>
      </c>
      <c r="K54" s="128">
        <v>110</v>
      </c>
      <c r="L54" s="128">
        <v>110</v>
      </c>
      <c r="M54" s="128">
        <v>110</v>
      </c>
      <c r="N54">
        <v>400</v>
      </c>
    </row>
    <row r="55" spans="8:14" x14ac:dyDescent="0.25">
      <c r="H55">
        <v>111</v>
      </c>
      <c r="I55">
        <v>220</v>
      </c>
      <c r="J55">
        <v>111</v>
      </c>
      <c r="K55">
        <v>111</v>
      </c>
      <c r="L55">
        <v>111</v>
      </c>
      <c r="M55">
        <v>111</v>
      </c>
      <c r="N55">
        <v>400</v>
      </c>
    </row>
    <row r="56" spans="8:14" x14ac:dyDescent="0.25">
      <c r="H56">
        <v>112</v>
      </c>
      <c r="I56">
        <v>220</v>
      </c>
      <c r="J56" s="128">
        <v>112</v>
      </c>
      <c r="K56" s="128">
        <v>112</v>
      </c>
      <c r="L56" s="128">
        <v>112</v>
      </c>
      <c r="M56" s="128">
        <v>112</v>
      </c>
      <c r="N56">
        <v>400</v>
      </c>
    </row>
    <row r="57" spans="8:14" x14ac:dyDescent="0.25">
      <c r="H57">
        <v>113</v>
      </c>
      <c r="I57">
        <v>220</v>
      </c>
      <c r="J57">
        <v>113</v>
      </c>
      <c r="K57">
        <v>113</v>
      </c>
      <c r="L57">
        <v>113</v>
      </c>
      <c r="M57">
        <v>113</v>
      </c>
      <c r="N57">
        <v>400</v>
      </c>
    </row>
    <row r="58" spans="8:14" x14ac:dyDescent="0.25">
      <c r="H58">
        <v>114</v>
      </c>
      <c r="I58">
        <v>220</v>
      </c>
      <c r="J58" s="128">
        <v>114</v>
      </c>
      <c r="K58" s="128">
        <v>114</v>
      </c>
      <c r="L58" s="128">
        <v>114</v>
      </c>
      <c r="M58" s="128">
        <v>114</v>
      </c>
      <c r="N58">
        <v>400</v>
      </c>
    </row>
    <row r="59" spans="8:14" x14ac:dyDescent="0.25">
      <c r="H59">
        <v>115</v>
      </c>
      <c r="I59">
        <v>220</v>
      </c>
      <c r="J59">
        <v>115</v>
      </c>
      <c r="K59">
        <v>115</v>
      </c>
      <c r="L59">
        <v>115</v>
      </c>
      <c r="M59">
        <v>115</v>
      </c>
      <c r="N59">
        <v>400</v>
      </c>
    </row>
    <row r="60" spans="8:14" x14ac:dyDescent="0.25">
      <c r="H60">
        <v>116</v>
      </c>
      <c r="I60">
        <v>220</v>
      </c>
      <c r="J60" s="128">
        <v>116</v>
      </c>
      <c r="K60" s="128">
        <v>116</v>
      </c>
      <c r="L60" s="128">
        <v>116</v>
      </c>
      <c r="M60" s="128">
        <v>116</v>
      </c>
      <c r="N60">
        <v>400</v>
      </c>
    </row>
    <row r="61" spans="8:14" x14ac:dyDescent="0.25">
      <c r="H61">
        <v>117</v>
      </c>
      <c r="I61">
        <v>220</v>
      </c>
      <c r="J61">
        <v>117</v>
      </c>
      <c r="K61">
        <v>117</v>
      </c>
      <c r="L61">
        <v>117</v>
      </c>
      <c r="M61">
        <v>117</v>
      </c>
      <c r="N61">
        <v>400</v>
      </c>
    </row>
    <row r="62" spans="8:14" x14ac:dyDescent="0.25">
      <c r="H62">
        <v>118</v>
      </c>
      <c r="I62">
        <v>220</v>
      </c>
      <c r="J62" s="128">
        <v>118</v>
      </c>
      <c r="K62" s="128">
        <v>118</v>
      </c>
      <c r="L62" s="128">
        <v>118</v>
      </c>
      <c r="M62" s="128">
        <v>118</v>
      </c>
      <c r="N62">
        <v>400</v>
      </c>
    </row>
    <row r="63" spans="8:14" x14ac:dyDescent="0.25">
      <c r="H63">
        <v>119</v>
      </c>
      <c r="I63">
        <v>220</v>
      </c>
      <c r="J63">
        <v>119</v>
      </c>
      <c r="K63">
        <v>119</v>
      </c>
      <c r="L63">
        <v>119</v>
      </c>
      <c r="M63">
        <v>119</v>
      </c>
      <c r="N63">
        <v>400</v>
      </c>
    </row>
    <row r="64" spans="8:14" x14ac:dyDescent="0.25">
      <c r="H64">
        <v>120</v>
      </c>
      <c r="I64">
        <v>220</v>
      </c>
      <c r="J64" s="128">
        <v>120</v>
      </c>
      <c r="K64" s="128">
        <v>120</v>
      </c>
      <c r="L64" s="128">
        <v>120</v>
      </c>
      <c r="M64" s="128">
        <v>120</v>
      </c>
      <c r="N64">
        <v>400</v>
      </c>
    </row>
    <row r="65" spans="8:14" x14ac:dyDescent="0.25">
      <c r="H65">
        <v>121</v>
      </c>
      <c r="I65">
        <v>297</v>
      </c>
      <c r="M65" s="128">
        <v>121</v>
      </c>
      <c r="N65">
        <v>514</v>
      </c>
    </row>
    <row r="66" spans="8:14" x14ac:dyDescent="0.25">
      <c r="H66">
        <v>122</v>
      </c>
      <c r="I66">
        <v>297</v>
      </c>
      <c r="M66">
        <v>122</v>
      </c>
      <c r="N66">
        <v>514</v>
      </c>
    </row>
    <row r="67" spans="8:14" x14ac:dyDescent="0.25">
      <c r="H67">
        <v>123</v>
      </c>
      <c r="I67">
        <v>297</v>
      </c>
      <c r="M67" s="128">
        <v>123</v>
      </c>
      <c r="N67">
        <v>514</v>
      </c>
    </row>
    <row r="68" spans="8:14" x14ac:dyDescent="0.25">
      <c r="H68">
        <v>124</v>
      </c>
      <c r="I68">
        <v>297</v>
      </c>
      <c r="M68" s="128">
        <v>124</v>
      </c>
      <c r="N68">
        <v>514</v>
      </c>
    </row>
    <row r="69" spans="8:14" x14ac:dyDescent="0.25">
      <c r="H69">
        <v>125</v>
      </c>
      <c r="I69">
        <v>297</v>
      </c>
      <c r="M69">
        <v>125</v>
      </c>
      <c r="N69">
        <v>514</v>
      </c>
    </row>
    <row r="70" spans="8:14" x14ac:dyDescent="0.25">
      <c r="H70">
        <v>126</v>
      </c>
      <c r="I70">
        <v>297</v>
      </c>
      <c r="M70" s="128">
        <v>126</v>
      </c>
      <c r="N70">
        <v>514</v>
      </c>
    </row>
    <row r="71" spans="8:14" x14ac:dyDescent="0.25">
      <c r="H71">
        <v>127</v>
      </c>
      <c r="I71">
        <v>297</v>
      </c>
      <c r="M71" s="128">
        <v>127</v>
      </c>
      <c r="N71">
        <v>514</v>
      </c>
    </row>
    <row r="72" spans="8:14" x14ac:dyDescent="0.25">
      <c r="H72">
        <v>128</v>
      </c>
      <c r="I72">
        <v>297</v>
      </c>
      <c r="M72">
        <v>128</v>
      </c>
      <c r="N72">
        <v>514</v>
      </c>
    </row>
    <row r="73" spans="8:14" x14ac:dyDescent="0.25">
      <c r="H73">
        <v>129</v>
      </c>
      <c r="I73">
        <v>297</v>
      </c>
      <c r="M73" s="128">
        <v>129</v>
      </c>
      <c r="N73">
        <v>514</v>
      </c>
    </row>
    <row r="74" spans="8:14" x14ac:dyDescent="0.25">
      <c r="H74">
        <v>130</v>
      </c>
      <c r="I74">
        <v>297</v>
      </c>
      <c r="M74" s="128">
        <v>130</v>
      </c>
      <c r="N74">
        <v>514</v>
      </c>
    </row>
    <row r="75" spans="8:14" x14ac:dyDescent="0.25">
      <c r="H75">
        <v>131</v>
      </c>
      <c r="I75">
        <v>297</v>
      </c>
      <c r="M75">
        <v>131</v>
      </c>
      <c r="N75">
        <v>514</v>
      </c>
    </row>
    <row r="76" spans="8:14" x14ac:dyDescent="0.25">
      <c r="H76">
        <v>132</v>
      </c>
      <c r="I76">
        <v>297</v>
      </c>
      <c r="M76" s="128">
        <v>132</v>
      </c>
      <c r="N76">
        <v>514</v>
      </c>
    </row>
    <row r="77" spans="8:14" x14ac:dyDescent="0.25">
      <c r="H77">
        <v>133</v>
      </c>
      <c r="I77">
        <v>297</v>
      </c>
      <c r="M77" s="128">
        <v>133</v>
      </c>
      <c r="N77">
        <v>514</v>
      </c>
    </row>
    <row r="78" spans="8:14" x14ac:dyDescent="0.25">
      <c r="H78">
        <v>134</v>
      </c>
      <c r="I78">
        <v>297</v>
      </c>
      <c r="M78">
        <v>134</v>
      </c>
      <c r="N78">
        <v>514</v>
      </c>
    </row>
    <row r="79" spans="8:14" x14ac:dyDescent="0.25">
      <c r="H79">
        <v>135</v>
      </c>
      <c r="I79">
        <v>297</v>
      </c>
      <c r="M79" s="128">
        <v>135</v>
      </c>
      <c r="N79">
        <v>514</v>
      </c>
    </row>
    <row r="80" spans="8:14" x14ac:dyDescent="0.25">
      <c r="H80">
        <v>136</v>
      </c>
      <c r="I80">
        <v>297</v>
      </c>
      <c r="M80" s="128">
        <v>136</v>
      </c>
      <c r="N80">
        <v>514</v>
      </c>
    </row>
    <row r="81" spans="6:14" x14ac:dyDescent="0.25">
      <c r="H81">
        <v>137</v>
      </c>
      <c r="I81">
        <v>297</v>
      </c>
      <c r="M81">
        <v>137</v>
      </c>
      <c r="N81">
        <v>514</v>
      </c>
    </row>
    <row r="82" spans="6:14" x14ac:dyDescent="0.25">
      <c r="H82">
        <v>138</v>
      </c>
      <c r="I82">
        <v>297</v>
      </c>
      <c r="M82" s="128">
        <v>138</v>
      </c>
      <c r="N82">
        <v>514</v>
      </c>
    </row>
    <row r="83" spans="6:14" x14ac:dyDescent="0.25">
      <c r="H83">
        <v>139</v>
      </c>
      <c r="I83">
        <v>297</v>
      </c>
      <c r="M83" s="128">
        <v>139</v>
      </c>
      <c r="N83">
        <v>514</v>
      </c>
    </row>
    <row r="84" spans="6:14" ht="15.75" x14ac:dyDescent="0.25">
      <c r="F84" s="1" t="s">
        <v>190</v>
      </c>
      <c r="H84">
        <v>140</v>
      </c>
      <c r="I84">
        <v>98</v>
      </c>
      <c r="M84">
        <v>140</v>
      </c>
      <c r="N84">
        <v>514</v>
      </c>
    </row>
    <row r="85" spans="6:14" x14ac:dyDescent="0.25">
      <c r="H85">
        <v>141</v>
      </c>
      <c r="I85">
        <v>297</v>
      </c>
      <c r="M85" s="128">
        <v>141</v>
      </c>
      <c r="N85">
        <v>514</v>
      </c>
    </row>
    <row r="86" spans="6:14" x14ac:dyDescent="0.25">
      <c r="H86">
        <v>142</v>
      </c>
      <c r="I86">
        <v>297</v>
      </c>
      <c r="M86" s="128">
        <v>142</v>
      </c>
      <c r="N86">
        <v>514</v>
      </c>
    </row>
    <row r="87" spans="6:14" x14ac:dyDescent="0.25">
      <c r="H87">
        <v>143</v>
      </c>
      <c r="I87">
        <v>297</v>
      </c>
      <c r="M87">
        <v>143</v>
      </c>
      <c r="N87">
        <v>514</v>
      </c>
    </row>
    <row r="88" spans="6:14" x14ac:dyDescent="0.25">
      <c r="H88">
        <v>144</v>
      </c>
      <c r="I88">
        <v>297</v>
      </c>
      <c r="M88" s="128">
        <v>144</v>
      </c>
      <c r="N88">
        <v>514</v>
      </c>
    </row>
    <row r="89" spans="6:14" x14ac:dyDescent="0.25">
      <c r="H89">
        <v>145</v>
      </c>
      <c r="I89">
        <v>297</v>
      </c>
      <c r="M89" s="128">
        <v>145</v>
      </c>
      <c r="N89">
        <v>514</v>
      </c>
    </row>
    <row r="90" spans="6:14" x14ac:dyDescent="0.25">
      <c r="H90">
        <v>146</v>
      </c>
      <c r="I90">
        <v>297</v>
      </c>
      <c r="M90">
        <v>146</v>
      </c>
      <c r="N90">
        <v>514</v>
      </c>
    </row>
    <row r="91" spans="6:14" x14ac:dyDescent="0.25">
      <c r="H91">
        <v>147</v>
      </c>
      <c r="I91">
        <v>297</v>
      </c>
      <c r="M91" s="128">
        <v>147</v>
      </c>
      <c r="N91">
        <v>514</v>
      </c>
    </row>
    <row r="92" spans="6:14" x14ac:dyDescent="0.25">
      <c r="H92">
        <v>148</v>
      </c>
      <c r="I92">
        <v>297</v>
      </c>
      <c r="M92" s="128">
        <v>148</v>
      </c>
      <c r="N92">
        <v>514</v>
      </c>
    </row>
    <row r="93" spans="6:14" x14ac:dyDescent="0.25">
      <c r="H93">
        <v>149</v>
      </c>
      <c r="I93">
        <v>297</v>
      </c>
      <c r="M93">
        <v>149</v>
      </c>
      <c r="N93">
        <v>514</v>
      </c>
    </row>
    <row r="94" spans="6:14" x14ac:dyDescent="0.25">
      <c r="H94">
        <v>150</v>
      </c>
      <c r="I94">
        <v>297</v>
      </c>
      <c r="M94" s="128">
        <v>150</v>
      </c>
      <c r="N94">
        <v>514</v>
      </c>
    </row>
    <row r="95" spans="6:14" x14ac:dyDescent="0.25">
      <c r="H95">
        <v>151</v>
      </c>
      <c r="I95">
        <v>297</v>
      </c>
      <c r="M95" s="128">
        <v>151</v>
      </c>
      <c r="N95">
        <v>514</v>
      </c>
    </row>
    <row r="96" spans="6:14" x14ac:dyDescent="0.25">
      <c r="H96">
        <v>152</v>
      </c>
      <c r="I96">
        <v>297</v>
      </c>
      <c r="M96">
        <v>152</v>
      </c>
      <c r="N96">
        <v>514</v>
      </c>
    </row>
    <row r="97" spans="8:14" x14ac:dyDescent="0.25">
      <c r="H97">
        <v>153</v>
      </c>
      <c r="I97">
        <v>297</v>
      </c>
      <c r="M97" s="128">
        <v>153</v>
      </c>
      <c r="N97">
        <v>514</v>
      </c>
    </row>
    <row r="98" spans="8:14" x14ac:dyDescent="0.25">
      <c r="H98">
        <v>154</v>
      </c>
      <c r="I98">
        <v>297</v>
      </c>
      <c r="M98" s="128">
        <v>154</v>
      </c>
      <c r="N98">
        <v>514</v>
      </c>
    </row>
    <row r="99" spans="8:14" x14ac:dyDescent="0.25">
      <c r="H99">
        <v>155</v>
      </c>
      <c r="I99">
        <v>297</v>
      </c>
      <c r="M99">
        <v>155</v>
      </c>
      <c r="N99">
        <v>514</v>
      </c>
    </row>
    <row r="100" spans="8:14" x14ac:dyDescent="0.25">
      <c r="H100">
        <v>156</v>
      </c>
      <c r="I100">
        <v>297</v>
      </c>
      <c r="M100" s="128">
        <v>156</v>
      </c>
      <c r="N100">
        <v>514</v>
      </c>
    </row>
    <row r="101" spans="8:14" x14ac:dyDescent="0.25">
      <c r="H101">
        <v>157</v>
      </c>
      <c r="I101">
        <v>297</v>
      </c>
      <c r="M101" s="128">
        <v>157</v>
      </c>
      <c r="N101">
        <v>514</v>
      </c>
    </row>
    <row r="102" spans="8:14" x14ac:dyDescent="0.25">
      <c r="H102">
        <v>158</v>
      </c>
      <c r="I102">
        <v>297</v>
      </c>
      <c r="M102">
        <v>158</v>
      </c>
      <c r="N102">
        <v>514</v>
      </c>
    </row>
    <row r="103" spans="8:14" x14ac:dyDescent="0.25">
      <c r="H103">
        <v>159</v>
      </c>
      <c r="I103">
        <v>297</v>
      </c>
      <c r="M103" s="128">
        <v>159</v>
      </c>
      <c r="N103">
        <v>514</v>
      </c>
    </row>
    <row r="104" spans="8:14" x14ac:dyDescent="0.25">
      <c r="H104">
        <v>160</v>
      </c>
      <c r="I104">
        <v>297</v>
      </c>
      <c r="M104" s="128">
        <v>160</v>
      </c>
      <c r="N104">
        <v>514</v>
      </c>
    </row>
    <row r="105" spans="8:14" x14ac:dyDescent="0.25">
      <c r="H105">
        <v>161</v>
      </c>
      <c r="I105">
        <v>297</v>
      </c>
      <c r="M105">
        <v>161</v>
      </c>
      <c r="N105">
        <v>514</v>
      </c>
    </row>
    <row r="106" spans="8:14" x14ac:dyDescent="0.25">
      <c r="H106">
        <v>162</v>
      </c>
      <c r="I106">
        <v>297</v>
      </c>
      <c r="M106" s="128">
        <v>162</v>
      </c>
      <c r="N106">
        <v>514</v>
      </c>
    </row>
    <row r="107" spans="8:14" x14ac:dyDescent="0.25">
      <c r="H107">
        <v>163</v>
      </c>
      <c r="I107">
        <v>297</v>
      </c>
      <c r="M107" s="128">
        <v>163</v>
      </c>
      <c r="N107">
        <v>514</v>
      </c>
    </row>
    <row r="108" spans="8:14" x14ac:dyDescent="0.25">
      <c r="H108">
        <v>164</v>
      </c>
      <c r="I108">
        <v>297</v>
      </c>
      <c r="M108">
        <v>164</v>
      </c>
      <c r="N108">
        <v>514</v>
      </c>
    </row>
    <row r="109" spans="8:14" x14ac:dyDescent="0.25">
      <c r="H109">
        <v>165</v>
      </c>
      <c r="I109">
        <v>297</v>
      </c>
      <c r="M109" s="128">
        <v>165</v>
      </c>
      <c r="N109">
        <v>514</v>
      </c>
    </row>
    <row r="110" spans="8:14" x14ac:dyDescent="0.25">
      <c r="H110">
        <v>166</v>
      </c>
      <c r="I110">
        <v>297</v>
      </c>
      <c r="M110" s="128">
        <v>166</v>
      </c>
      <c r="N110">
        <v>514</v>
      </c>
    </row>
    <row r="111" spans="8:14" x14ac:dyDescent="0.25">
      <c r="H111">
        <v>167</v>
      </c>
      <c r="I111">
        <v>297</v>
      </c>
      <c r="M111">
        <v>167</v>
      </c>
      <c r="N111">
        <v>514</v>
      </c>
    </row>
    <row r="112" spans="8:14" x14ac:dyDescent="0.25">
      <c r="H112">
        <v>168</v>
      </c>
      <c r="I112">
        <v>297</v>
      </c>
      <c r="M112" s="128">
        <v>168</v>
      </c>
      <c r="N112">
        <v>514</v>
      </c>
    </row>
    <row r="113" spans="8:14" x14ac:dyDescent="0.25">
      <c r="H113">
        <v>169</v>
      </c>
      <c r="I113">
        <v>297</v>
      </c>
      <c r="M113" s="128">
        <v>169</v>
      </c>
      <c r="N113">
        <v>514</v>
      </c>
    </row>
    <row r="114" spans="8:14" x14ac:dyDescent="0.25">
      <c r="H114">
        <v>170</v>
      </c>
      <c r="I114">
        <v>297</v>
      </c>
      <c r="M114">
        <v>170</v>
      </c>
      <c r="N114">
        <v>514</v>
      </c>
    </row>
    <row r="115" spans="8:14" x14ac:dyDescent="0.25">
      <c r="H115">
        <v>171</v>
      </c>
      <c r="I115">
        <v>297</v>
      </c>
      <c r="M115" s="128">
        <v>171</v>
      </c>
      <c r="N115">
        <v>514</v>
      </c>
    </row>
    <row r="116" spans="8:14" x14ac:dyDescent="0.25">
      <c r="H116">
        <v>172</v>
      </c>
      <c r="I116">
        <v>297</v>
      </c>
      <c r="M116" s="128">
        <v>172</v>
      </c>
      <c r="N116">
        <v>514</v>
      </c>
    </row>
    <row r="117" spans="8:14" x14ac:dyDescent="0.25">
      <c r="H117">
        <v>173</v>
      </c>
      <c r="I117">
        <v>297</v>
      </c>
      <c r="M117">
        <v>173</v>
      </c>
      <c r="N117">
        <v>514</v>
      </c>
    </row>
    <row r="118" spans="8:14" x14ac:dyDescent="0.25">
      <c r="H118">
        <v>174</v>
      </c>
      <c r="I118">
        <v>297</v>
      </c>
      <c r="M118" s="128">
        <v>174</v>
      </c>
      <c r="N118">
        <v>514</v>
      </c>
    </row>
    <row r="119" spans="8:14" x14ac:dyDescent="0.25">
      <c r="H119">
        <v>175</v>
      </c>
      <c r="I119">
        <v>297</v>
      </c>
      <c r="M119" s="128">
        <v>175</v>
      </c>
      <c r="N119">
        <v>514</v>
      </c>
    </row>
    <row r="120" spans="8:14" x14ac:dyDescent="0.25">
      <c r="H120">
        <v>176</v>
      </c>
      <c r="I120">
        <v>297</v>
      </c>
      <c r="M120">
        <v>176</v>
      </c>
      <c r="N120">
        <v>514</v>
      </c>
    </row>
    <row r="121" spans="8:14" x14ac:dyDescent="0.25">
      <c r="H121">
        <v>177</v>
      </c>
      <c r="I121">
        <v>297</v>
      </c>
      <c r="M121" s="128">
        <v>177</v>
      </c>
      <c r="N121">
        <v>514</v>
      </c>
    </row>
    <row r="122" spans="8:14" x14ac:dyDescent="0.25">
      <c r="H122">
        <v>178</v>
      </c>
      <c r="I122">
        <v>297</v>
      </c>
      <c r="M122" s="128">
        <v>178</v>
      </c>
      <c r="N122">
        <v>514</v>
      </c>
    </row>
    <row r="123" spans="8:14" x14ac:dyDescent="0.25">
      <c r="H123">
        <v>179</v>
      </c>
      <c r="I123">
        <v>297</v>
      </c>
      <c r="M123">
        <v>179</v>
      </c>
      <c r="N123">
        <v>514</v>
      </c>
    </row>
    <row r="124" spans="8:14" x14ac:dyDescent="0.25">
      <c r="H124">
        <v>180</v>
      </c>
      <c r="I124">
        <v>297</v>
      </c>
      <c r="M124" s="128">
        <v>180</v>
      </c>
      <c r="N124">
        <v>514</v>
      </c>
    </row>
    <row r="125" spans="8:14" x14ac:dyDescent="0.25">
      <c r="H125">
        <v>181</v>
      </c>
      <c r="I125">
        <v>356</v>
      </c>
      <c r="M125" s="128">
        <v>181</v>
      </c>
      <c r="N125">
        <v>604</v>
      </c>
    </row>
    <row r="126" spans="8:14" x14ac:dyDescent="0.25">
      <c r="H126">
        <v>182</v>
      </c>
      <c r="I126">
        <v>356</v>
      </c>
      <c r="M126">
        <v>182</v>
      </c>
      <c r="N126">
        <v>604</v>
      </c>
    </row>
    <row r="127" spans="8:14" x14ac:dyDescent="0.25">
      <c r="H127">
        <v>183</v>
      </c>
      <c r="I127">
        <v>356</v>
      </c>
      <c r="M127" s="128">
        <v>183</v>
      </c>
      <c r="N127">
        <v>604</v>
      </c>
    </row>
    <row r="128" spans="8:14" x14ac:dyDescent="0.25">
      <c r="H128">
        <v>184</v>
      </c>
      <c r="I128">
        <v>356</v>
      </c>
      <c r="M128" s="128">
        <v>184</v>
      </c>
      <c r="N128">
        <v>604</v>
      </c>
    </row>
    <row r="129" spans="8:14" x14ac:dyDescent="0.25">
      <c r="H129">
        <v>185</v>
      </c>
      <c r="I129">
        <v>356</v>
      </c>
      <c r="M129">
        <v>185</v>
      </c>
      <c r="N129">
        <v>604</v>
      </c>
    </row>
    <row r="130" spans="8:14" x14ac:dyDescent="0.25">
      <c r="H130">
        <v>186</v>
      </c>
      <c r="I130">
        <v>356</v>
      </c>
      <c r="M130" s="128">
        <v>186</v>
      </c>
      <c r="N130">
        <v>604</v>
      </c>
    </row>
    <row r="131" spans="8:14" x14ac:dyDescent="0.25">
      <c r="H131">
        <v>187</v>
      </c>
      <c r="I131">
        <v>356</v>
      </c>
      <c r="M131" s="128">
        <v>187</v>
      </c>
      <c r="N131">
        <v>604</v>
      </c>
    </row>
    <row r="132" spans="8:14" x14ac:dyDescent="0.25">
      <c r="H132">
        <v>188</v>
      </c>
      <c r="I132">
        <v>356</v>
      </c>
      <c r="M132">
        <v>188</v>
      </c>
      <c r="N132">
        <v>604</v>
      </c>
    </row>
    <row r="133" spans="8:14" x14ac:dyDescent="0.25">
      <c r="H133">
        <v>189</v>
      </c>
      <c r="I133">
        <v>356</v>
      </c>
      <c r="M133" s="128">
        <v>189</v>
      </c>
      <c r="N133">
        <v>604</v>
      </c>
    </row>
    <row r="134" spans="8:14" x14ac:dyDescent="0.25">
      <c r="H134">
        <v>190</v>
      </c>
      <c r="I134">
        <v>356</v>
      </c>
      <c r="M134" s="128">
        <v>190</v>
      </c>
      <c r="N134">
        <v>604</v>
      </c>
    </row>
    <row r="135" spans="8:14" x14ac:dyDescent="0.25">
      <c r="H135">
        <v>191</v>
      </c>
      <c r="I135">
        <v>356</v>
      </c>
      <c r="M135">
        <v>191</v>
      </c>
      <c r="N135">
        <v>604</v>
      </c>
    </row>
    <row r="136" spans="8:14" x14ac:dyDescent="0.25">
      <c r="H136">
        <v>192</v>
      </c>
      <c r="I136">
        <v>356</v>
      </c>
      <c r="M136" s="128">
        <v>192</v>
      </c>
      <c r="N136">
        <v>604</v>
      </c>
    </row>
    <row r="137" spans="8:14" x14ac:dyDescent="0.25">
      <c r="H137">
        <v>193</v>
      </c>
      <c r="I137">
        <v>356</v>
      </c>
      <c r="M137" s="128">
        <v>193</v>
      </c>
      <c r="N137">
        <v>604</v>
      </c>
    </row>
    <row r="138" spans="8:14" x14ac:dyDescent="0.25">
      <c r="H138">
        <v>194</v>
      </c>
      <c r="I138">
        <v>356</v>
      </c>
      <c r="M138">
        <v>194</v>
      </c>
      <c r="N138">
        <v>604</v>
      </c>
    </row>
    <row r="139" spans="8:14" x14ac:dyDescent="0.25">
      <c r="H139">
        <v>195</v>
      </c>
      <c r="I139">
        <v>356</v>
      </c>
      <c r="M139" s="128">
        <v>195</v>
      </c>
      <c r="N139">
        <v>604</v>
      </c>
    </row>
    <row r="140" spans="8:14" x14ac:dyDescent="0.25">
      <c r="H140">
        <v>196</v>
      </c>
      <c r="I140">
        <v>356</v>
      </c>
      <c r="M140" s="128">
        <v>196</v>
      </c>
      <c r="N140">
        <v>604</v>
      </c>
    </row>
    <row r="141" spans="8:14" x14ac:dyDescent="0.25">
      <c r="H141">
        <v>197</v>
      </c>
      <c r="I141">
        <v>356</v>
      </c>
      <c r="M141">
        <v>197</v>
      </c>
      <c r="N141">
        <v>604</v>
      </c>
    </row>
    <row r="142" spans="8:14" x14ac:dyDescent="0.25">
      <c r="H142">
        <v>198</v>
      </c>
      <c r="I142">
        <v>356</v>
      </c>
      <c r="M142" s="128">
        <v>198</v>
      </c>
      <c r="N142">
        <v>604</v>
      </c>
    </row>
    <row r="143" spans="8:14" x14ac:dyDescent="0.25">
      <c r="H143">
        <v>199</v>
      </c>
      <c r="I143">
        <v>356</v>
      </c>
      <c r="M143" s="128">
        <v>199</v>
      </c>
      <c r="N143">
        <v>604</v>
      </c>
    </row>
    <row r="144" spans="8:14" x14ac:dyDescent="0.25">
      <c r="H144">
        <v>200</v>
      </c>
      <c r="I144">
        <v>356</v>
      </c>
      <c r="M144">
        <v>200</v>
      </c>
      <c r="N144">
        <v>604</v>
      </c>
    </row>
    <row r="145" spans="8:14" x14ac:dyDescent="0.25">
      <c r="H145">
        <v>201</v>
      </c>
      <c r="I145">
        <v>356</v>
      </c>
      <c r="M145" s="128">
        <v>201</v>
      </c>
      <c r="N145">
        <v>604</v>
      </c>
    </row>
    <row r="146" spans="8:14" x14ac:dyDescent="0.25">
      <c r="H146">
        <v>202</v>
      </c>
      <c r="I146">
        <v>356</v>
      </c>
      <c r="M146" s="128">
        <v>202</v>
      </c>
      <c r="N146">
        <v>604</v>
      </c>
    </row>
    <row r="147" spans="8:14" x14ac:dyDescent="0.25">
      <c r="H147">
        <v>203</v>
      </c>
      <c r="I147">
        <v>356</v>
      </c>
      <c r="M147">
        <v>203</v>
      </c>
      <c r="N147">
        <v>604</v>
      </c>
    </row>
    <row r="148" spans="8:14" x14ac:dyDescent="0.25">
      <c r="H148">
        <v>204</v>
      </c>
      <c r="I148">
        <v>356</v>
      </c>
      <c r="M148" s="128">
        <v>204</v>
      </c>
      <c r="N148">
        <v>604</v>
      </c>
    </row>
    <row r="149" spans="8:14" x14ac:dyDescent="0.25">
      <c r="H149">
        <v>205</v>
      </c>
      <c r="I149">
        <v>356</v>
      </c>
      <c r="M149" s="128">
        <v>205</v>
      </c>
      <c r="N149">
        <v>604</v>
      </c>
    </row>
    <row r="150" spans="8:14" x14ac:dyDescent="0.25">
      <c r="H150">
        <v>206</v>
      </c>
      <c r="I150">
        <v>356</v>
      </c>
      <c r="M150">
        <v>206</v>
      </c>
      <c r="N150">
        <v>604</v>
      </c>
    </row>
    <row r="151" spans="8:14" x14ac:dyDescent="0.25">
      <c r="H151">
        <v>207</v>
      </c>
      <c r="I151">
        <v>356</v>
      </c>
      <c r="M151" s="128">
        <v>207</v>
      </c>
      <c r="N151">
        <v>604</v>
      </c>
    </row>
    <row r="152" spans="8:14" x14ac:dyDescent="0.25">
      <c r="H152">
        <v>208</v>
      </c>
      <c r="I152">
        <v>356</v>
      </c>
      <c r="M152" s="128">
        <v>208</v>
      </c>
      <c r="N152">
        <v>604</v>
      </c>
    </row>
    <row r="153" spans="8:14" x14ac:dyDescent="0.25">
      <c r="H153">
        <v>209</v>
      </c>
      <c r="I153">
        <v>356</v>
      </c>
      <c r="M153">
        <v>209</v>
      </c>
      <c r="N153">
        <v>604</v>
      </c>
    </row>
    <row r="154" spans="8:14" x14ac:dyDescent="0.25">
      <c r="H154">
        <v>210</v>
      </c>
      <c r="I154">
        <v>356</v>
      </c>
      <c r="M154" s="128">
        <v>210</v>
      </c>
      <c r="N154">
        <v>604</v>
      </c>
    </row>
    <row r="155" spans="8:14" x14ac:dyDescent="0.25">
      <c r="H155">
        <v>211</v>
      </c>
      <c r="I155">
        <v>356</v>
      </c>
      <c r="M155" s="128">
        <v>211</v>
      </c>
      <c r="N155">
        <v>604</v>
      </c>
    </row>
    <row r="156" spans="8:14" x14ac:dyDescent="0.25">
      <c r="H156">
        <v>212</v>
      </c>
      <c r="I156">
        <v>356</v>
      </c>
      <c r="M156">
        <v>212</v>
      </c>
      <c r="N156">
        <v>604</v>
      </c>
    </row>
    <row r="157" spans="8:14" x14ac:dyDescent="0.25">
      <c r="H157">
        <v>213</v>
      </c>
      <c r="I157">
        <v>356</v>
      </c>
      <c r="M157" s="128">
        <v>213</v>
      </c>
      <c r="N157">
        <v>604</v>
      </c>
    </row>
    <row r="158" spans="8:14" x14ac:dyDescent="0.25">
      <c r="H158">
        <v>214</v>
      </c>
      <c r="I158">
        <v>356</v>
      </c>
      <c r="M158" s="128">
        <v>214</v>
      </c>
      <c r="N158">
        <v>604</v>
      </c>
    </row>
    <row r="159" spans="8:14" x14ac:dyDescent="0.25">
      <c r="H159">
        <v>215</v>
      </c>
      <c r="I159">
        <v>356</v>
      </c>
      <c r="M159">
        <v>215</v>
      </c>
      <c r="N159">
        <v>604</v>
      </c>
    </row>
    <row r="160" spans="8:14" x14ac:dyDescent="0.25">
      <c r="H160">
        <v>216</v>
      </c>
      <c r="I160">
        <v>356</v>
      </c>
      <c r="M160" s="128">
        <v>216</v>
      </c>
      <c r="N160">
        <v>604</v>
      </c>
    </row>
    <row r="161" spans="8:14" x14ac:dyDescent="0.25">
      <c r="H161">
        <v>217</v>
      </c>
      <c r="I161">
        <v>356</v>
      </c>
      <c r="M161" s="128">
        <v>217</v>
      </c>
      <c r="N161">
        <v>604</v>
      </c>
    </row>
    <row r="162" spans="8:14" x14ac:dyDescent="0.25">
      <c r="H162">
        <v>218</v>
      </c>
      <c r="I162">
        <v>356</v>
      </c>
      <c r="M162">
        <v>218</v>
      </c>
      <c r="N162">
        <v>604</v>
      </c>
    </row>
    <row r="163" spans="8:14" x14ac:dyDescent="0.25">
      <c r="H163">
        <v>219</v>
      </c>
      <c r="I163">
        <v>356</v>
      </c>
      <c r="M163" s="128">
        <v>219</v>
      </c>
      <c r="N163">
        <v>604</v>
      </c>
    </row>
    <row r="164" spans="8:14" x14ac:dyDescent="0.25">
      <c r="H164">
        <v>220</v>
      </c>
      <c r="I164">
        <v>356</v>
      </c>
      <c r="M164" s="128">
        <v>220</v>
      </c>
      <c r="N164">
        <v>604</v>
      </c>
    </row>
    <row r="165" spans="8:14" x14ac:dyDescent="0.25">
      <c r="H165">
        <v>221</v>
      </c>
      <c r="I165">
        <v>356</v>
      </c>
      <c r="M165">
        <v>221</v>
      </c>
      <c r="N165">
        <v>604</v>
      </c>
    </row>
    <row r="166" spans="8:14" x14ac:dyDescent="0.25">
      <c r="H166">
        <v>222</v>
      </c>
      <c r="I166">
        <v>356</v>
      </c>
      <c r="M166" s="128">
        <v>222</v>
      </c>
      <c r="N166">
        <v>604</v>
      </c>
    </row>
    <row r="167" spans="8:14" x14ac:dyDescent="0.25">
      <c r="H167">
        <v>223</v>
      </c>
      <c r="I167">
        <v>356</v>
      </c>
      <c r="M167" s="128">
        <v>223</v>
      </c>
      <c r="N167">
        <v>604</v>
      </c>
    </row>
    <row r="168" spans="8:14" x14ac:dyDescent="0.25">
      <c r="H168">
        <v>224</v>
      </c>
      <c r="I168">
        <v>356</v>
      </c>
      <c r="M168">
        <v>224</v>
      </c>
      <c r="N168">
        <v>604</v>
      </c>
    </row>
    <row r="169" spans="8:14" x14ac:dyDescent="0.25">
      <c r="H169">
        <v>225</v>
      </c>
      <c r="I169">
        <v>356</v>
      </c>
      <c r="M169" s="128">
        <v>225</v>
      </c>
      <c r="N169">
        <v>604</v>
      </c>
    </row>
    <row r="170" spans="8:14" x14ac:dyDescent="0.25">
      <c r="H170">
        <v>226</v>
      </c>
      <c r="I170">
        <v>356</v>
      </c>
      <c r="M170" s="128">
        <v>226</v>
      </c>
      <c r="N170">
        <v>604</v>
      </c>
    </row>
    <row r="171" spans="8:14" x14ac:dyDescent="0.25">
      <c r="H171">
        <v>227</v>
      </c>
      <c r="I171">
        <v>356</v>
      </c>
      <c r="M171">
        <v>227</v>
      </c>
      <c r="N171">
        <v>604</v>
      </c>
    </row>
    <row r="172" spans="8:14" x14ac:dyDescent="0.25">
      <c r="H172">
        <v>228</v>
      </c>
      <c r="I172">
        <v>356</v>
      </c>
      <c r="M172" s="128">
        <v>228</v>
      </c>
      <c r="N172">
        <v>604</v>
      </c>
    </row>
    <row r="173" spans="8:14" x14ac:dyDescent="0.25">
      <c r="H173">
        <v>229</v>
      </c>
      <c r="I173">
        <v>356</v>
      </c>
      <c r="M173" s="128">
        <v>229</v>
      </c>
      <c r="N173">
        <v>604</v>
      </c>
    </row>
    <row r="174" spans="8:14" x14ac:dyDescent="0.25">
      <c r="H174">
        <v>230</v>
      </c>
      <c r="I174">
        <v>356</v>
      </c>
      <c r="M174">
        <v>230</v>
      </c>
      <c r="N174">
        <v>604</v>
      </c>
    </row>
    <row r="175" spans="8:14" x14ac:dyDescent="0.25">
      <c r="H175">
        <v>231</v>
      </c>
      <c r="I175">
        <v>356</v>
      </c>
      <c r="M175" s="128">
        <v>231</v>
      </c>
      <c r="N175">
        <v>604</v>
      </c>
    </row>
    <row r="176" spans="8:14" x14ac:dyDescent="0.25">
      <c r="H176">
        <v>232</v>
      </c>
      <c r="I176">
        <v>356</v>
      </c>
      <c r="M176" s="128">
        <v>232</v>
      </c>
      <c r="N176">
        <v>604</v>
      </c>
    </row>
    <row r="177" spans="8:14" x14ac:dyDescent="0.25">
      <c r="H177">
        <v>233</v>
      </c>
      <c r="I177">
        <v>356</v>
      </c>
      <c r="M177">
        <v>233</v>
      </c>
      <c r="N177">
        <v>604</v>
      </c>
    </row>
    <row r="178" spans="8:14" x14ac:dyDescent="0.25">
      <c r="H178">
        <v>234</v>
      </c>
      <c r="I178">
        <v>356</v>
      </c>
      <c r="M178" s="128">
        <v>234</v>
      </c>
      <c r="N178">
        <v>604</v>
      </c>
    </row>
    <row r="179" spans="8:14" x14ac:dyDescent="0.25">
      <c r="H179">
        <v>235</v>
      </c>
      <c r="I179">
        <v>356</v>
      </c>
      <c r="M179" s="128">
        <v>235</v>
      </c>
      <c r="N179">
        <v>604</v>
      </c>
    </row>
    <row r="180" spans="8:14" x14ac:dyDescent="0.25">
      <c r="H180">
        <v>236</v>
      </c>
      <c r="I180">
        <v>356</v>
      </c>
      <c r="M180">
        <v>236</v>
      </c>
      <c r="N180">
        <v>604</v>
      </c>
    </row>
    <row r="181" spans="8:14" x14ac:dyDescent="0.25">
      <c r="H181">
        <v>237</v>
      </c>
      <c r="I181">
        <v>356</v>
      </c>
      <c r="M181" s="128">
        <v>237</v>
      </c>
      <c r="N181">
        <v>604</v>
      </c>
    </row>
    <row r="182" spans="8:14" x14ac:dyDescent="0.25">
      <c r="H182">
        <v>238</v>
      </c>
      <c r="I182">
        <v>356</v>
      </c>
      <c r="M182" s="128">
        <v>238</v>
      </c>
      <c r="N182">
        <v>604</v>
      </c>
    </row>
    <row r="183" spans="8:14" x14ac:dyDescent="0.25">
      <c r="H183">
        <v>239</v>
      </c>
      <c r="I183">
        <v>356</v>
      </c>
      <c r="M183">
        <v>239</v>
      </c>
      <c r="N183">
        <v>604</v>
      </c>
    </row>
    <row r="184" spans="8:14" x14ac:dyDescent="0.25">
      <c r="H184">
        <v>240</v>
      </c>
      <c r="I184">
        <v>356</v>
      </c>
      <c r="M184" s="128">
        <v>240</v>
      </c>
      <c r="N184">
        <v>604</v>
      </c>
    </row>
  </sheetData>
  <mergeCells count="3">
    <mergeCell ref="D3:D5"/>
    <mergeCell ref="D6:D8"/>
    <mergeCell ref="D9:D1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3"/>
  <dimension ref="A1:H225"/>
  <sheetViews>
    <sheetView workbookViewId="0">
      <selection activeCell="B1" sqref="B1"/>
    </sheetView>
  </sheetViews>
  <sheetFormatPr baseColWidth="10" defaultRowHeight="15" x14ac:dyDescent="0.25"/>
  <cols>
    <col min="2" max="2" width="48.5703125" customWidth="1"/>
  </cols>
  <sheetData>
    <row r="1" spans="1:8" x14ac:dyDescent="0.25">
      <c r="B1" s="130" t="s">
        <v>191</v>
      </c>
    </row>
    <row r="2" spans="1:8" ht="15.75" thickBot="1" x14ac:dyDescent="0.3"/>
    <row r="3" spans="1:8" ht="16.5" thickBot="1" x14ac:dyDescent="0.3">
      <c r="A3" s="1" t="s">
        <v>0</v>
      </c>
      <c r="F3" s="199" t="s">
        <v>30</v>
      </c>
      <c r="G3" s="200"/>
      <c r="H3" s="201"/>
    </row>
    <row r="4" spans="1:8" ht="15.75" thickBot="1" x14ac:dyDescent="0.3">
      <c r="A4" s="2" t="s">
        <v>1</v>
      </c>
      <c r="B4" s="3">
        <v>671.96</v>
      </c>
      <c r="F4" s="22" t="s">
        <v>136</v>
      </c>
      <c r="G4" s="24" t="s">
        <v>139</v>
      </c>
      <c r="H4" s="23" t="s">
        <v>138</v>
      </c>
    </row>
    <row r="5" spans="1:8" x14ac:dyDescent="0.25">
      <c r="A5" s="4" t="s">
        <v>2</v>
      </c>
      <c r="B5" s="5">
        <v>999.38000000000011</v>
      </c>
    </row>
    <row r="6" spans="1:8" x14ac:dyDescent="0.25">
      <c r="A6" s="4" t="s">
        <v>3</v>
      </c>
      <c r="B6" s="5">
        <v>1392.0700000000002</v>
      </c>
    </row>
    <row r="7" spans="1:8" ht="15.75" thickBot="1" x14ac:dyDescent="0.3">
      <c r="A7" s="6" t="s">
        <v>14</v>
      </c>
      <c r="B7" s="7">
        <v>1859.66</v>
      </c>
      <c r="F7" t="s">
        <v>19</v>
      </c>
    </row>
    <row r="8" spans="1:8" ht="15.75" thickBot="1" x14ac:dyDescent="0.3">
      <c r="F8">
        <v>1</v>
      </c>
      <c r="G8">
        <v>30</v>
      </c>
      <c r="H8">
        <v>60</v>
      </c>
    </row>
    <row r="9" spans="1:8" ht="15.75" thickBot="1" x14ac:dyDescent="0.3">
      <c r="A9" s="15" t="s">
        <v>4</v>
      </c>
      <c r="B9" s="8" t="s">
        <v>5</v>
      </c>
      <c r="C9" s="9" t="s">
        <v>6</v>
      </c>
      <c r="F9">
        <v>2</v>
      </c>
      <c r="G9">
        <v>61</v>
      </c>
      <c r="H9">
        <v>120</v>
      </c>
    </row>
    <row r="10" spans="1:8" x14ac:dyDescent="0.25">
      <c r="A10" s="16" t="s">
        <v>7</v>
      </c>
      <c r="B10" s="17">
        <v>74.900000000000006</v>
      </c>
      <c r="C10" s="3">
        <v>181.9</v>
      </c>
      <c r="F10">
        <v>3</v>
      </c>
      <c r="G10">
        <v>121</v>
      </c>
      <c r="H10">
        <v>180</v>
      </c>
    </row>
    <row r="11" spans="1:8" x14ac:dyDescent="0.25">
      <c r="A11" s="18" t="s">
        <v>8</v>
      </c>
      <c r="B11" s="14">
        <v>116.63000000000001</v>
      </c>
      <c r="C11" s="5">
        <v>223.63000000000002</v>
      </c>
      <c r="F11">
        <v>4</v>
      </c>
      <c r="G11">
        <v>181</v>
      </c>
      <c r="H11">
        <v>240</v>
      </c>
    </row>
    <row r="12" spans="1:8" x14ac:dyDescent="0.25">
      <c r="A12" s="18" t="s">
        <v>9</v>
      </c>
      <c r="B12" s="14">
        <v>90.95</v>
      </c>
      <c r="C12" s="5">
        <v>208.65</v>
      </c>
    </row>
    <row r="13" spans="1:8" x14ac:dyDescent="0.25">
      <c r="A13" s="18" t="s">
        <v>10</v>
      </c>
      <c r="B13" s="14">
        <v>156.22</v>
      </c>
      <c r="C13" s="5">
        <v>273.92</v>
      </c>
    </row>
    <row r="14" spans="1:8" x14ac:dyDescent="0.25">
      <c r="A14" s="18" t="s">
        <v>11</v>
      </c>
      <c r="B14" s="14">
        <v>107</v>
      </c>
      <c r="C14" s="5">
        <v>235.4</v>
      </c>
    </row>
    <row r="15" spans="1:8" x14ac:dyDescent="0.25">
      <c r="A15" s="18" t="s">
        <v>15</v>
      </c>
      <c r="B15" s="14">
        <v>197.95000000000002</v>
      </c>
      <c r="C15" s="5">
        <v>326.35000000000002</v>
      </c>
      <c r="F15">
        <v>30</v>
      </c>
      <c r="G15">
        <v>40</v>
      </c>
      <c r="H15">
        <v>120</v>
      </c>
    </row>
    <row r="16" spans="1:8" x14ac:dyDescent="0.25">
      <c r="A16" s="18" t="s">
        <v>16</v>
      </c>
      <c r="B16" s="14">
        <v>123.05000000000001</v>
      </c>
      <c r="C16" s="5">
        <v>262.15000000000003</v>
      </c>
      <c r="F16">
        <v>31</v>
      </c>
      <c r="G16">
        <v>41</v>
      </c>
      <c r="H16">
        <v>121</v>
      </c>
    </row>
    <row r="17" spans="1:8" ht="15.75" thickBot="1" x14ac:dyDescent="0.3">
      <c r="A17" s="19" t="s">
        <v>17</v>
      </c>
      <c r="B17" s="20">
        <v>240.75</v>
      </c>
      <c r="C17" s="7">
        <v>379.85</v>
      </c>
      <c r="F17">
        <v>32</v>
      </c>
      <c r="G17">
        <v>42</v>
      </c>
      <c r="H17">
        <v>122</v>
      </c>
    </row>
    <row r="18" spans="1:8" ht="15.75" thickBot="1" x14ac:dyDescent="0.3">
      <c r="B18" s="10"/>
      <c r="C18" s="10"/>
      <c r="F18">
        <v>33</v>
      </c>
      <c r="G18">
        <v>43</v>
      </c>
      <c r="H18">
        <v>123</v>
      </c>
    </row>
    <row r="19" spans="1:8" ht="15.75" thickBot="1" x14ac:dyDescent="0.3">
      <c r="A19" s="11" t="s">
        <v>12</v>
      </c>
      <c r="B19" s="12">
        <v>34.24</v>
      </c>
      <c r="C19" s="13">
        <v>47.080000000000005</v>
      </c>
      <c r="F19">
        <v>34</v>
      </c>
      <c r="G19">
        <v>44</v>
      </c>
      <c r="H19">
        <v>124</v>
      </c>
    </row>
    <row r="20" spans="1:8" ht="15.75" thickBot="1" x14ac:dyDescent="0.3">
      <c r="B20" s="10"/>
      <c r="C20" s="10"/>
      <c r="F20">
        <v>35</v>
      </c>
      <c r="G20">
        <v>45</v>
      </c>
      <c r="H20">
        <v>125</v>
      </c>
    </row>
    <row r="21" spans="1:8" ht="15.75" thickBot="1" x14ac:dyDescent="0.3">
      <c r="A21" s="11" t="s">
        <v>13</v>
      </c>
      <c r="B21" s="12">
        <v>22.470000000000002</v>
      </c>
      <c r="C21" s="13">
        <v>32.1</v>
      </c>
      <c r="F21">
        <v>36</v>
      </c>
      <c r="G21">
        <v>46</v>
      </c>
      <c r="H21">
        <v>126</v>
      </c>
    </row>
    <row r="22" spans="1:8" x14ac:dyDescent="0.25">
      <c r="F22">
        <v>37</v>
      </c>
      <c r="G22">
        <v>47</v>
      </c>
      <c r="H22">
        <v>127</v>
      </c>
    </row>
    <row r="23" spans="1:8" x14ac:dyDescent="0.25">
      <c r="A23" s="198" t="s">
        <v>20</v>
      </c>
      <c r="B23" s="198"/>
      <c r="C23" s="198"/>
      <c r="D23" s="198"/>
      <c r="E23" s="198"/>
      <c r="F23">
        <v>38</v>
      </c>
      <c r="G23">
        <v>48</v>
      </c>
      <c r="H23">
        <v>128</v>
      </c>
    </row>
    <row r="24" spans="1:8" x14ac:dyDescent="0.25">
      <c r="F24">
        <v>39</v>
      </c>
      <c r="G24">
        <v>49</v>
      </c>
      <c r="H24">
        <v>129</v>
      </c>
    </row>
    <row r="25" spans="1:8" x14ac:dyDescent="0.25">
      <c r="A25" t="s">
        <v>21</v>
      </c>
      <c r="B25">
        <f>IF('Calcu Mad FR'!E6=1,'Données Mad FR'!B4,IF('Calcu Mad FR'!E6=2,'Données Mad FR'!B5,(IF('Calcu Mad FR'!E6=3,'Données Mad FR'!B6,(IF('Calcu Mad FR'!E6=4,'Données Mad FR'!B7,0))))))</f>
        <v>999.38000000000011</v>
      </c>
      <c r="F25">
        <v>40</v>
      </c>
      <c r="G25">
        <v>50</v>
      </c>
      <c r="H25">
        <v>130</v>
      </c>
    </row>
    <row r="26" spans="1:8" x14ac:dyDescent="0.25">
      <c r="A26" t="s">
        <v>22</v>
      </c>
      <c r="B26">
        <f>IF('Calcu Mad FR'!D6="oui",1.4,1)</f>
        <v>1</v>
      </c>
      <c r="F26">
        <v>41</v>
      </c>
      <c r="G26">
        <v>51</v>
      </c>
      <c r="H26">
        <v>131</v>
      </c>
    </row>
    <row r="27" spans="1:8" x14ac:dyDescent="0.25">
      <c r="A27" t="s">
        <v>23</v>
      </c>
      <c r="B27">
        <f>IF('Calcu Mad FR'!D9="non",1,IF(B26=1,1.4,1.1))</f>
        <v>1</v>
      </c>
      <c r="C27">
        <f>B26+B27</f>
        <v>2</v>
      </c>
      <c r="F27">
        <v>42</v>
      </c>
      <c r="G27">
        <v>52</v>
      </c>
      <c r="H27">
        <v>132</v>
      </c>
    </row>
    <row r="28" spans="1:8" x14ac:dyDescent="0.25">
      <c r="A28" t="s">
        <v>24</v>
      </c>
      <c r="B28">
        <f>IF('Calcu Mad FR'!D12="non",1,IF(C27=2,1.4,1.1))</f>
        <v>1</v>
      </c>
      <c r="F28">
        <v>43</v>
      </c>
      <c r="G28">
        <v>53</v>
      </c>
      <c r="H28">
        <v>133</v>
      </c>
    </row>
    <row r="29" spans="1:8" x14ac:dyDescent="0.25">
      <c r="A29" t="s">
        <v>25</v>
      </c>
      <c r="B29">
        <f>('Calcu Mad FR'!C6/100)*('Calcu Mad FR'!C9/100)*('Calcu Mad FR'!C12/100)</f>
        <v>0.97680000000000011</v>
      </c>
      <c r="F29">
        <v>44</v>
      </c>
      <c r="G29">
        <v>54</v>
      </c>
      <c r="H29">
        <v>134</v>
      </c>
    </row>
    <row r="30" spans="1:8" x14ac:dyDescent="0.25">
      <c r="A30" t="s">
        <v>26</v>
      </c>
      <c r="B30">
        <f>IF('Calcu Mad FR'!E6=1,0.52,IF('Calcu Mad FR'!E6=2,0.98,(IF('Calcu Mad FR'!E6=3,1.46,(IF('Calcu Mad FR'!E6=4,1.95,0))))))</f>
        <v>0.98</v>
      </c>
      <c r="F30">
        <v>45</v>
      </c>
      <c r="G30">
        <v>55</v>
      </c>
      <c r="H30">
        <v>135</v>
      </c>
    </row>
    <row r="31" spans="1:8" x14ac:dyDescent="0.25">
      <c r="A31" t="s">
        <v>27</v>
      </c>
      <c r="B31">
        <f>IF('Calcu Mad FR'!C15="non",0,(IF(AND('Calcu Mad FR'!C15=G4,'Calcu Mad FR'!E6=1,'Calcu Mad FR'!D6="non"),'Données Mad FR'!B10,(IF(AND('Calcu Mad FR'!C15=G4,'Calcu Mad FR'!E6=1,'Calcu Mad FR'!D6="oui"),'Données Mad FR'!C10,(IF(AND('Calcu Mad FR'!C15=H4,'Calcu Mad FR'!E6=1,'Calcu Mad FR'!D6="non"),'Données Mad FR'!B11,(IF(AND('Calcu Mad FR'!C15=H4,'Calcu Mad FR'!E6=1,'Calcu Mad FR'!D6="oui"),'Données Mad FR'!C11,(IF(AND('Calcu Mad FR'!C15=G4,'Calcu Mad FR'!E6=2,'Calcu Mad FR'!D6="non"),'Données Mad FR'!B12,(IF(AND('Calcu Mad FR'!C15=G4,'Calcu Mad FR'!E6=2,'Calcu Mad FR'!D6="oui"),'Données Mad FR'!C12,(IF(AND('Calcu Mad FR'!C15=H4,'Calcu Mad FR'!E6=2,'Calcu Mad FR'!D6="non"),'Données Mad FR'!B13,(IF(AND('Calcu Mad FR'!C15=H4,'Calcu Mad FR'!E6=2,'Calcu Mad FR'!D6="oui"),'Données Mad FR'!C13,(IF(AND('Calcu Mad FR'!C15=G4,'Calcu Mad FR'!E6=3,'Calcu Mad FR'!D6="non"),'Données Mad FR'!B14,(IF(AND('Calcu Mad FR'!C15=G4,'Calcu Mad FR'!E6=3,'Calcu Mad FR'!D6="oui"),'Données Mad FR'!C14,(IF(AND('Calcu Mad FR'!C15=H4,'Calcu Mad FR'!E6=3,'Calcu Mad FR'!D6="non"),'Données Mad FR'!B15,(IF(AND('Calcu Mad FR'!C15=H4,'Calcu Mad FR'!E6=3,'Calcu Mad FR'!D6="oui"),'Données Mad FR'!C15,(IF(AND('Calcu Mad FR'!C15=G4,'Calcu Mad FR'!E6=4,'Calcu Mad FR'!D6="non"),'Données Mad FR'!B16,(IF(AND('Calcu Mad FR'!C15=G4,'Calcu Mad FR'!E6=4,'Calcu Mad FR'!D6="oui"),'Données Mad FR'!C16,(IF(AND('Calcu Mad FR'!C15=H4,'Calcu Mad FR'!E6=4,'Calcu Mad FR'!D6="non"),'Données Mad FR'!B17,(IF(AND('Calcu Mad FR'!C15=H4,'Calcu Mad FR'!E6=4,'Calcu Mad FR'!D6="oui"),'Données Mad FR'!C17,10000)))))))))))))))))))))))))))))))))</f>
        <v>0</v>
      </c>
      <c r="F31">
        <v>46</v>
      </c>
      <c r="G31">
        <v>56</v>
      </c>
      <c r="H31">
        <v>136</v>
      </c>
    </row>
    <row r="32" spans="1:8" x14ac:dyDescent="0.25">
      <c r="A32" t="s">
        <v>28</v>
      </c>
      <c r="B32">
        <f>IF(AND(B26=1,B27=1),B19*'Calcu Mad FR'!C17,C19*'Calcu Mad FR'!C17)</f>
        <v>205.44</v>
      </c>
      <c r="F32">
        <v>47</v>
      </c>
      <c r="G32">
        <v>57</v>
      </c>
      <c r="H32">
        <v>137</v>
      </c>
    </row>
    <row r="33" spans="1:8" x14ac:dyDescent="0.25">
      <c r="A33" t="s">
        <v>29</v>
      </c>
      <c r="B33">
        <f>IF(B26=1,B21*'Calcu Mad FR'!C19,'Calcu Mad FR'!C19*C21)</f>
        <v>22.470000000000002</v>
      </c>
      <c r="F33">
        <v>48</v>
      </c>
      <c r="G33">
        <v>58</v>
      </c>
      <c r="H33">
        <v>138</v>
      </c>
    </row>
    <row r="34" spans="1:8" x14ac:dyDescent="0.25">
      <c r="F34">
        <v>49</v>
      </c>
      <c r="G34">
        <v>59</v>
      </c>
      <c r="H34">
        <v>139</v>
      </c>
    </row>
    <row r="35" spans="1:8" x14ac:dyDescent="0.25">
      <c r="F35" s="21">
        <v>50</v>
      </c>
      <c r="G35">
        <v>60</v>
      </c>
      <c r="H35">
        <v>140</v>
      </c>
    </row>
    <row r="36" spans="1:8" x14ac:dyDescent="0.25">
      <c r="F36">
        <v>51</v>
      </c>
      <c r="H36">
        <v>141</v>
      </c>
    </row>
    <row r="37" spans="1:8" ht="333.75" customHeight="1" x14ac:dyDescent="0.25">
      <c r="A37">
        <v>1</v>
      </c>
      <c r="F37">
        <v>52</v>
      </c>
      <c r="H37">
        <v>142</v>
      </c>
    </row>
    <row r="38" spans="1:8" ht="329.25" customHeight="1" x14ac:dyDescent="0.25">
      <c r="A38">
        <v>2</v>
      </c>
      <c r="F38">
        <v>53</v>
      </c>
      <c r="H38">
        <v>143</v>
      </c>
    </row>
    <row r="39" spans="1:8" ht="327" customHeight="1" x14ac:dyDescent="0.25">
      <c r="A39">
        <v>3</v>
      </c>
      <c r="F39">
        <v>54</v>
      </c>
      <c r="H39">
        <v>144</v>
      </c>
    </row>
    <row r="40" spans="1:8" ht="321.75" customHeight="1" x14ac:dyDescent="0.25">
      <c r="A40">
        <v>4</v>
      </c>
      <c r="F40">
        <v>55</v>
      </c>
      <c r="H40">
        <v>145</v>
      </c>
    </row>
    <row r="41" spans="1:8" ht="312" customHeight="1" x14ac:dyDescent="0.25">
      <c r="A41">
        <v>5</v>
      </c>
      <c r="F41">
        <v>56</v>
      </c>
      <c r="H41">
        <v>146</v>
      </c>
    </row>
    <row r="42" spans="1:8" ht="317.25" customHeight="1" x14ac:dyDescent="0.25">
      <c r="A42">
        <v>6</v>
      </c>
      <c r="F42">
        <v>57</v>
      </c>
      <c r="H42">
        <v>147</v>
      </c>
    </row>
    <row r="43" spans="1:8" ht="319.5" customHeight="1" x14ac:dyDescent="0.25">
      <c r="A43">
        <v>7</v>
      </c>
      <c r="F43">
        <v>58</v>
      </c>
      <c r="H43">
        <v>148</v>
      </c>
    </row>
    <row r="44" spans="1:8" ht="318.75" customHeight="1" x14ac:dyDescent="0.25">
      <c r="A44">
        <v>8</v>
      </c>
      <c r="F44">
        <v>59</v>
      </c>
      <c r="H44">
        <v>149</v>
      </c>
    </row>
    <row r="45" spans="1:8" x14ac:dyDescent="0.25">
      <c r="F45">
        <v>60</v>
      </c>
      <c r="H45">
        <v>150</v>
      </c>
    </row>
    <row r="46" spans="1:8" x14ac:dyDescent="0.25">
      <c r="F46">
        <v>61</v>
      </c>
      <c r="H46">
        <v>151</v>
      </c>
    </row>
    <row r="47" spans="1:8" x14ac:dyDescent="0.25">
      <c r="F47">
        <v>62</v>
      </c>
      <c r="H47">
        <v>152</v>
      </c>
    </row>
    <row r="48" spans="1:8" x14ac:dyDescent="0.25">
      <c r="F48">
        <v>63</v>
      </c>
      <c r="H48">
        <v>153</v>
      </c>
    </row>
    <row r="49" spans="6:8" x14ac:dyDescent="0.25">
      <c r="F49">
        <v>64</v>
      </c>
      <c r="H49">
        <v>154</v>
      </c>
    </row>
    <row r="50" spans="6:8" x14ac:dyDescent="0.25">
      <c r="F50">
        <v>65</v>
      </c>
      <c r="H50">
        <v>155</v>
      </c>
    </row>
    <row r="51" spans="6:8" x14ac:dyDescent="0.25">
      <c r="F51">
        <v>66</v>
      </c>
      <c r="H51">
        <v>156</v>
      </c>
    </row>
    <row r="52" spans="6:8" x14ac:dyDescent="0.25">
      <c r="F52">
        <v>67</v>
      </c>
      <c r="H52">
        <v>157</v>
      </c>
    </row>
    <row r="53" spans="6:8" x14ac:dyDescent="0.25">
      <c r="F53">
        <v>68</v>
      </c>
      <c r="H53">
        <v>158</v>
      </c>
    </row>
    <row r="54" spans="6:8" x14ac:dyDescent="0.25">
      <c r="F54">
        <v>69</v>
      </c>
      <c r="H54">
        <v>159</v>
      </c>
    </row>
    <row r="55" spans="6:8" x14ac:dyDescent="0.25">
      <c r="F55">
        <v>70</v>
      </c>
      <c r="H55">
        <v>160</v>
      </c>
    </row>
    <row r="56" spans="6:8" x14ac:dyDescent="0.25">
      <c r="F56">
        <v>71</v>
      </c>
      <c r="H56">
        <v>161</v>
      </c>
    </row>
    <row r="57" spans="6:8" x14ac:dyDescent="0.25">
      <c r="F57">
        <v>72</v>
      </c>
      <c r="H57">
        <v>162</v>
      </c>
    </row>
    <row r="58" spans="6:8" x14ac:dyDescent="0.25">
      <c r="F58">
        <v>73</v>
      </c>
      <c r="H58">
        <v>163</v>
      </c>
    </row>
    <row r="59" spans="6:8" x14ac:dyDescent="0.25">
      <c r="F59">
        <v>74</v>
      </c>
      <c r="H59">
        <v>164</v>
      </c>
    </row>
    <row r="60" spans="6:8" x14ac:dyDescent="0.25">
      <c r="F60">
        <v>75</v>
      </c>
      <c r="H60">
        <v>165</v>
      </c>
    </row>
    <row r="61" spans="6:8" x14ac:dyDescent="0.25">
      <c r="F61">
        <v>76</v>
      </c>
      <c r="H61">
        <v>166</v>
      </c>
    </row>
    <row r="62" spans="6:8" x14ac:dyDescent="0.25">
      <c r="F62">
        <v>77</v>
      </c>
      <c r="H62">
        <v>167</v>
      </c>
    </row>
    <row r="63" spans="6:8" x14ac:dyDescent="0.25">
      <c r="F63">
        <v>78</v>
      </c>
      <c r="H63">
        <v>168</v>
      </c>
    </row>
    <row r="64" spans="6:8" x14ac:dyDescent="0.25">
      <c r="F64">
        <v>79</v>
      </c>
      <c r="H64">
        <v>169</v>
      </c>
    </row>
    <row r="65" spans="6:8" x14ac:dyDescent="0.25">
      <c r="F65">
        <v>80</v>
      </c>
      <c r="H65">
        <v>170</v>
      </c>
    </row>
    <row r="66" spans="6:8" x14ac:dyDescent="0.25">
      <c r="F66">
        <v>81</v>
      </c>
      <c r="H66">
        <v>171</v>
      </c>
    </row>
    <row r="67" spans="6:8" x14ac:dyDescent="0.25">
      <c r="F67">
        <v>82</v>
      </c>
      <c r="H67">
        <v>172</v>
      </c>
    </row>
    <row r="68" spans="6:8" x14ac:dyDescent="0.25">
      <c r="F68">
        <v>83</v>
      </c>
      <c r="H68">
        <v>173</v>
      </c>
    </row>
    <row r="69" spans="6:8" x14ac:dyDescent="0.25">
      <c r="F69">
        <v>84</v>
      </c>
      <c r="H69">
        <v>174</v>
      </c>
    </row>
    <row r="70" spans="6:8" x14ac:dyDescent="0.25">
      <c r="F70">
        <v>85</v>
      </c>
      <c r="H70">
        <v>175</v>
      </c>
    </row>
    <row r="71" spans="6:8" x14ac:dyDescent="0.25">
      <c r="F71">
        <v>86</v>
      </c>
      <c r="H71">
        <v>176</v>
      </c>
    </row>
    <row r="72" spans="6:8" x14ac:dyDescent="0.25">
      <c r="F72">
        <v>87</v>
      </c>
      <c r="H72">
        <v>177</v>
      </c>
    </row>
    <row r="73" spans="6:8" x14ac:dyDescent="0.25">
      <c r="F73">
        <v>88</v>
      </c>
      <c r="H73">
        <v>178</v>
      </c>
    </row>
    <row r="74" spans="6:8" x14ac:dyDescent="0.25">
      <c r="F74">
        <v>89</v>
      </c>
      <c r="H74">
        <v>179</v>
      </c>
    </row>
    <row r="75" spans="6:8" x14ac:dyDescent="0.25">
      <c r="F75">
        <v>90</v>
      </c>
      <c r="H75">
        <v>180</v>
      </c>
    </row>
    <row r="76" spans="6:8" x14ac:dyDescent="0.25">
      <c r="F76">
        <v>91</v>
      </c>
      <c r="H76">
        <v>181</v>
      </c>
    </row>
    <row r="77" spans="6:8" x14ac:dyDescent="0.25">
      <c r="F77">
        <v>92</v>
      </c>
      <c r="H77">
        <v>182</v>
      </c>
    </row>
    <row r="78" spans="6:8" x14ac:dyDescent="0.25">
      <c r="F78">
        <v>93</v>
      </c>
      <c r="H78">
        <v>183</v>
      </c>
    </row>
    <row r="79" spans="6:8" x14ac:dyDescent="0.25">
      <c r="F79">
        <v>94</v>
      </c>
      <c r="H79">
        <v>184</v>
      </c>
    </row>
    <row r="80" spans="6:8" x14ac:dyDescent="0.25">
      <c r="F80">
        <v>95</v>
      </c>
      <c r="H80">
        <v>185</v>
      </c>
    </row>
    <row r="81" spans="6:8" x14ac:dyDescent="0.25">
      <c r="F81" s="21">
        <v>96</v>
      </c>
      <c r="H81">
        <v>186</v>
      </c>
    </row>
    <row r="82" spans="6:8" x14ac:dyDescent="0.25">
      <c r="F82">
        <v>97</v>
      </c>
      <c r="H82">
        <v>187</v>
      </c>
    </row>
    <row r="83" spans="6:8" x14ac:dyDescent="0.25">
      <c r="F83">
        <v>98</v>
      </c>
      <c r="H83">
        <v>188</v>
      </c>
    </row>
    <row r="84" spans="6:8" x14ac:dyDescent="0.25">
      <c r="F84">
        <v>99</v>
      </c>
      <c r="H84">
        <v>189</v>
      </c>
    </row>
    <row r="85" spans="6:8" x14ac:dyDescent="0.25">
      <c r="F85">
        <v>100</v>
      </c>
      <c r="H85">
        <v>190</v>
      </c>
    </row>
    <row r="86" spans="6:8" x14ac:dyDescent="0.25">
      <c r="F86">
        <v>101</v>
      </c>
      <c r="H86">
        <v>191</v>
      </c>
    </row>
    <row r="87" spans="6:8" x14ac:dyDescent="0.25">
      <c r="F87">
        <v>102</v>
      </c>
      <c r="H87">
        <v>192</v>
      </c>
    </row>
    <row r="88" spans="6:8" x14ac:dyDescent="0.25">
      <c r="F88">
        <v>103</v>
      </c>
      <c r="H88">
        <v>193</v>
      </c>
    </row>
    <row r="89" spans="6:8" x14ac:dyDescent="0.25">
      <c r="F89">
        <v>104</v>
      </c>
      <c r="H89">
        <v>194</v>
      </c>
    </row>
    <row r="90" spans="6:8" x14ac:dyDescent="0.25">
      <c r="F90">
        <v>105</v>
      </c>
      <c r="H90">
        <v>195</v>
      </c>
    </row>
    <row r="91" spans="6:8" x14ac:dyDescent="0.25">
      <c r="F91">
        <v>106</v>
      </c>
      <c r="H91">
        <v>196</v>
      </c>
    </row>
    <row r="92" spans="6:8" x14ac:dyDescent="0.25">
      <c r="F92">
        <v>107</v>
      </c>
      <c r="H92">
        <v>197</v>
      </c>
    </row>
    <row r="93" spans="6:8" x14ac:dyDescent="0.25">
      <c r="F93">
        <v>108</v>
      </c>
      <c r="H93">
        <v>198</v>
      </c>
    </row>
    <row r="94" spans="6:8" x14ac:dyDescent="0.25">
      <c r="F94">
        <v>109</v>
      </c>
      <c r="H94">
        <v>199</v>
      </c>
    </row>
    <row r="95" spans="6:8" x14ac:dyDescent="0.25">
      <c r="F95">
        <v>110</v>
      </c>
      <c r="H95">
        <v>200</v>
      </c>
    </row>
    <row r="96" spans="6:8" x14ac:dyDescent="0.25">
      <c r="F96">
        <v>111</v>
      </c>
      <c r="H96">
        <v>201</v>
      </c>
    </row>
    <row r="97" spans="6:8" x14ac:dyDescent="0.25">
      <c r="F97">
        <v>112</v>
      </c>
      <c r="H97">
        <v>202</v>
      </c>
    </row>
    <row r="98" spans="6:8" x14ac:dyDescent="0.25">
      <c r="F98">
        <v>113</v>
      </c>
      <c r="H98">
        <v>203</v>
      </c>
    </row>
    <row r="99" spans="6:8" x14ac:dyDescent="0.25">
      <c r="F99">
        <v>114</v>
      </c>
      <c r="H99">
        <v>204</v>
      </c>
    </row>
    <row r="100" spans="6:8" x14ac:dyDescent="0.25">
      <c r="F100">
        <v>115</v>
      </c>
      <c r="H100">
        <v>205</v>
      </c>
    </row>
    <row r="101" spans="6:8" x14ac:dyDescent="0.25">
      <c r="F101">
        <v>116</v>
      </c>
      <c r="H101">
        <v>206</v>
      </c>
    </row>
    <row r="102" spans="6:8" x14ac:dyDescent="0.25">
      <c r="F102">
        <v>117</v>
      </c>
      <c r="H102">
        <v>207</v>
      </c>
    </row>
    <row r="103" spans="6:8" x14ac:dyDescent="0.25">
      <c r="F103">
        <v>118</v>
      </c>
      <c r="H103">
        <v>208</v>
      </c>
    </row>
    <row r="104" spans="6:8" x14ac:dyDescent="0.25">
      <c r="F104">
        <v>119</v>
      </c>
      <c r="H104">
        <v>209</v>
      </c>
    </row>
    <row r="105" spans="6:8" x14ac:dyDescent="0.25">
      <c r="F105">
        <v>120</v>
      </c>
      <c r="H105">
        <v>210</v>
      </c>
    </row>
    <row r="106" spans="6:8" x14ac:dyDescent="0.25">
      <c r="F106">
        <v>121</v>
      </c>
      <c r="H106">
        <v>211</v>
      </c>
    </row>
    <row r="107" spans="6:8" x14ac:dyDescent="0.25">
      <c r="F107">
        <v>122</v>
      </c>
      <c r="H107">
        <v>212</v>
      </c>
    </row>
    <row r="108" spans="6:8" x14ac:dyDescent="0.25">
      <c r="F108">
        <v>123</v>
      </c>
      <c r="H108">
        <v>213</v>
      </c>
    </row>
    <row r="109" spans="6:8" x14ac:dyDescent="0.25">
      <c r="F109">
        <v>124</v>
      </c>
      <c r="H109">
        <v>214</v>
      </c>
    </row>
    <row r="110" spans="6:8" x14ac:dyDescent="0.25">
      <c r="F110">
        <v>125</v>
      </c>
      <c r="H110">
        <v>215</v>
      </c>
    </row>
    <row r="111" spans="6:8" x14ac:dyDescent="0.25">
      <c r="F111">
        <v>126</v>
      </c>
      <c r="H111">
        <v>216</v>
      </c>
    </row>
    <row r="112" spans="6:8" x14ac:dyDescent="0.25">
      <c r="F112">
        <v>127</v>
      </c>
      <c r="H112">
        <v>217</v>
      </c>
    </row>
    <row r="113" spans="6:8" x14ac:dyDescent="0.25">
      <c r="F113">
        <v>128</v>
      </c>
      <c r="H113">
        <v>218</v>
      </c>
    </row>
    <row r="114" spans="6:8" x14ac:dyDescent="0.25">
      <c r="F114">
        <v>129</v>
      </c>
      <c r="H114">
        <v>219</v>
      </c>
    </row>
    <row r="115" spans="6:8" x14ac:dyDescent="0.25">
      <c r="F115">
        <v>130</v>
      </c>
      <c r="H115">
        <v>220</v>
      </c>
    </row>
    <row r="116" spans="6:8" x14ac:dyDescent="0.25">
      <c r="F116">
        <v>131</v>
      </c>
      <c r="H116">
        <v>221</v>
      </c>
    </row>
    <row r="117" spans="6:8" x14ac:dyDescent="0.25">
      <c r="F117">
        <v>132</v>
      </c>
      <c r="H117">
        <v>222</v>
      </c>
    </row>
    <row r="118" spans="6:8" x14ac:dyDescent="0.25">
      <c r="F118">
        <v>133</v>
      </c>
      <c r="H118">
        <v>223</v>
      </c>
    </row>
    <row r="119" spans="6:8" x14ac:dyDescent="0.25">
      <c r="F119">
        <v>134</v>
      </c>
      <c r="H119">
        <v>224</v>
      </c>
    </row>
    <row r="120" spans="6:8" x14ac:dyDescent="0.25">
      <c r="F120">
        <v>135</v>
      </c>
      <c r="H120">
        <v>225</v>
      </c>
    </row>
    <row r="121" spans="6:8" x14ac:dyDescent="0.25">
      <c r="F121">
        <v>136</v>
      </c>
      <c r="H121">
        <v>226</v>
      </c>
    </row>
    <row r="122" spans="6:8" x14ac:dyDescent="0.25">
      <c r="F122">
        <v>137</v>
      </c>
      <c r="H122">
        <v>227</v>
      </c>
    </row>
    <row r="123" spans="6:8" x14ac:dyDescent="0.25">
      <c r="F123">
        <v>138</v>
      </c>
      <c r="H123">
        <v>228</v>
      </c>
    </row>
    <row r="124" spans="6:8" x14ac:dyDescent="0.25">
      <c r="F124">
        <v>139</v>
      </c>
      <c r="H124">
        <v>229</v>
      </c>
    </row>
    <row r="125" spans="6:8" x14ac:dyDescent="0.25">
      <c r="F125">
        <v>140</v>
      </c>
      <c r="H125">
        <v>230</v>
      </c>
    </row>
    <row r="126" spans="6:8" x14ac:dyDescent="0.25">
      <c r="F126">
        <v>141</v>
      </c>
      <c r="H126">
        <v>231</v>
      </c>
    </row>
    <row r="127" spans="6:8" x14ac:dyDescent="0.25">
      <c r="F127">
        <v>142</v>
      </c>
      <c r="H127">
        <v>232</v>
      </c>
    </row>
    <row r="128" spans="6:8" x14ac:dyDescent="0.25">
      <c r="F128" s="21">
        <v>143</v>
      </c>
      <c r="H128">
        <v>233</v>
      </c>
    </row>
    <row r="129" spans="6:8" x14ac:dyDescent="0.25">
      <c r="F129">
        <v>144</v>
      </c>
      <c r="H129">
        <v>234</v>
      </c>
    </row>
    <row r="130" spans="6:8" x14ac:dyDescent="0.25">
      <c r="F130">
        <v>145</v>
      </c>
      <c r="H130">
        <v>235</v>
      </c>
    </row>
    <row r="131" spans="6:8" x14ac:dyDescent="0.25">
      <c r="F131">
        <v>146</v>
      </c>
      <c r="H131">
        <v>236</v>
      </c>
    </row>
    <row r="132" spans="6:8" x14ac:dyDescent="0.25">
      <c r="F132">
        <v>147</v>
      </c>
      <c r="H132">
        <v>237</v>
      </c>
    </row>
    <row r="133" spans="6:8" x14ac:dyDescent="0.25">
      <c r="F133">
        <v>148</v>
      </c>
      <c r="H133">
        <v>238</v>
      </c>
    </row>
    <row r="134" spans="6:8" x14ac:dyDescent="0.25">
      <c r="F134">
        <v>149</v>
      </c>
      <c r="H134">
        <v>239</v>
      </c>
    </row>
    <row r="135" spans="6:8" x14ac:dyDescent="0.25">
      <c r="F135">
        <v>150</v>
      </c>
      <c r="H135">
        <v>240</v>
      </c>
    </row>
    <row r="136" spans="6:8" x14ac:dyDescent="0.25">
      <c r="F136">
        <v>151</v>
      </c>
    </row>
    <row r="137" spans="6:8" x14ac:dyDescent="0.25">
      <c r="F137">
        <v>152</v>
      </c>
    </row>
    <row r="138" spans="6:8" x14ac:dyDescent="0.25">
      <c r="F138">
        <v>153</v>
      </c>
    </row>
    <row r="139" spans="6:8" x14ac:dyDescent="0.25">
      <c r="F139">
        <v>154</v>
      </c>
    </row>
    <row r="140" spans="6:8" x14ac:dyDescent="0.25">
      <c r="F140">
        <v>155</v>
      </c>
    </row>
    <row r="141" spans="6:8" x14ac:dyDescent="0.25">
      <c r="F141">
        <v>156</v>
      </c>
    </row>
    <row r="142" spans="6:8" x14ac:dyDescent="0.25">
      <c r="F142">
        <v>157</v>
      </c>
    </row>
    <row r="143" spans="6:8" x14ac:dyDescent="0.25">
      <c r="F143">
        <v>158</v>
      </c>
    </row>
    <row r="144" spans="6:8" x14ac:dyDescent="0.25">
      <c r="F144">
        <v>159</v>
      </c>
    </row>
    <row r="145" spans="6:6" x14ac:dyDescent="0.25">
      <c r="F145">
        <v>160</v>
      </c>
    </row>
    <row r="146" spans="6:6" x14ac:dyDescent="0.25">
      <c r="F146">
        <v>161</v>
      </c>
    </row>
    <row r="147" spans="6:6" x14ac:dyDescent="0.25">
      <c r="F147">
        <v>162</v>
      </c>
    </row>
    <row r="148" spans="6:6" x14ac:dyDescent="0.25">
      <c r="F148">
        <v>163</v>
      </c>
    </row>
    <row r="149" spans="6:6" x14ac:dyDescent="0.25">
      <c r="F149">
        <v>164</v>
      </c>
    </row>
    <row r="150" spans="6:6" x14ac:dyDescent="0.25">
      <c r="F150">
        <v>165</v>
      </c>
    </row>
    <row r="151" spans="6:6" x14ac:dyDescent="0.25">
      <c r="F151">
        <v>166</v>
      </c>
    </row>
    <row r="152" spans="6:6" x14ac:dyDescent="0.25">
      <c r="F152">
        <v>167</v>
      </c>
    </row>
    <row r="153" spans="6:6" x14ac:dyDescent="0.25">
      <c r="F153">
        <v>168</v>
      </c>
    </row>
    <row r="154" spans="6:6" x14ac:dyDescent="0.25">
      <c r="F154">
        <v>169</v>
      </c>
    </row>
    <row r="155" spans="6:6" x14ac:dyDescent="0.25">
      <c r="F155">
        <v>170</v>
      </c>
    </row>
    <row r="156" spans="6:6" x14ac:dyDescent="0.25">
      <c r="F156">
        <v>171</v>
      </c>
    </row>
    <row r="157" spans="6:6" x14ac:dyDescent="0.25">
      <c r="F157">
        <v>172</v>
      </c>
    </row>
    <row r="158" spans="6:6" x14ac:dyDescent="0.25">
      <c r="F158">
        <v>173</v>
      </c>
    </row>
    <row r="159" spans="6:6" x14ac:dyDescent="0.25">
      <c r="F159">
        <v>174</v>
      </c>
    </row>
    <row r="160" spans="6:6" x14ac:dyDescent="0.25">
      <c r="F160">
        <v>175</v>
      </c>
    </row>
    <row r="161" spans="6:6" x14ac:dyDescent="0.25">
      <c r="F161">
        <v>176</v>
      </c>
    </row>
    <row r="162" spans="6:6" x14ac:dyDescent="0.25">
      <c r="F162">
        <v>177</v>
      </c>
    </row>
    <row r="163" spans="6:6" x14ac:dyDescent="0.25">
      <c r="F163">
        <v>178</v>
      </c>
    </row>
    <row r="164" spans="6:6" x14ac:dyDescent="0.25">
      <c r="F164">
        <v>179</v>
      </c>
    </row>
    <row r="165" spans="6:6" x14ac:dyDescent="0.25">
      <c r="F165">
        <v>180</v>
      </c>
    </row>
    <row r="166" spans="6:6" x14ac:dyDescent="0.25">
      <c r="F166">
        <v>181</v>
      </c>
    </row>
    <row r="167" spans="6:6" x14ac:dyDescent="0.25">
      <c r="F167">
        <v>182</v>
      </c>
    </row>
    <row r="168" spans="6:6" x14ac:dyDescent="0.25">
      <c r="F168">
        <v>183</v>
      </c>
    </row>
    <row r="169" spans="6:6" x14ac:dyDescent="0.25">
      <c r="F169">
        <v>184</v>
      </c>
    </row>
    <row r="170" spans="6:6" x14ac:dyDescent="0.25">
      <c r="F170">
        <v>185</v>
      </c>
    </row>
    <row r="171" spans="6:6" x14ac:dyDescent="0.25">
      <c r="F171">
        <v>186</v>
      </c>
    </row>
    <row r="172" spans="6:6" x14ac:dyDescent="0.25">
      <c r="F172">
        <v>187</v>
      </c>
    </row>
    <row r="173" spans="6:6" x14ac:dyDescent="0.25">
      <c r="F173">
        <v>188</v>
      </c>
    </row>
    <row r="174" spans="6:6" x14ac:dyDescent="0.25">
      <c r="F174">
        <v>189</v>
      </c>
    </row>
    <row r="175" spans="6:6" x14ac:dyDescent="0.25">
      <c r="F175">
        <v>190</v>
      </c>
    </row>
    <row r="176" spans="6:6" x14ac:dyDescent="0.25">
      <c r="F176">
        <v>191</v>
      </c>
    </row>
    <row r="177" spans="6:6" x14ac:dyDescent="0.25">
      <c r="F177">
        <v>192</v>
      </c>
    </row>
    <row r="178" spans="6:6" x14ac:dyDescent="0.25">
      <c r="F178">
        <v>193</v>
      </c>
    </row>
    <row r="179" spans="6:6" x14ac:dyDescent="0.25">
      <c r="F179">
        <v>194</v>
      </c>
    </row>
    <row r="180" spans="6:6" x14ac:dyDescent="0.25">
      <c r="F180">
        <v>195</v>
      </c>
    </row>
    <row r="181" spans="6:6" x14ac:dyDescent="0.25">
      <c r="F181">
        <v>196</v>
      </c>
    </row>
    <row r="182" spans="6:6" x14ac:dyDescent="0.25">
      <c r="F182">
        <v>197</v>
      </c>
    </row>
    <row r="183" spans="6:6" x14ac:dyDescent="0.25">
      <c r="F183">
        <v>198</v>
      </c>
    </row>
    <row r="184" spans="6:6" x14ac:dyDescent="0.25">
      <c r="F184">
        <v>199</v>
      </c>
    </row>
    <row r="185" spans="6:6" x14ac:dyDescent="0.25">
      <c r="F185">
        <v>200</v>
      </c>
    </row>
    <row r="186" spans="6:6" x14ac:dyDescent="0.25">
      <c r="F186">
        <v>201</v>
      </c>
    </row>
    <row r="187" spans="6:6" x14ac:dyDescent="0.25">
      <c r="F187">
        <v>202</v>
      </c>
    </row>
    <row r="188" spans="6:6" x14ac:dyDescent="0.25">
      <c r="F188">
        <v>203</v>
      </c>
    </row>
    <row r="189" spans="6:6" x14ac:dyDescent="0.25">
      <c r="F189">
        <v>204</v>
      </c>
    </row>
    <row r="190" spans="6:6" x14ac:dyDescent="0.25">
      <c r="F190">
        <v>205</v>
      </c>
    </row>
    <row r="191" spans="6:6" x14ac:dyDescent="0.25">
      <c r="F191">
        <v>206</v>
      </c>
    </row>
    <row r="192" spans="6:6" x14ac:dyDescent="0.25">
      <c r="F192">
        <v>207</v>
      </c>
    </row>
    <row r="193" spans="6:6" x14ac:dyDescent="0.25">
      <c r="F193">
        <v>208</v>
      </c>
    </row>
    <row r="194" spans="6:6" x14ac:dyDescent="0.25">
      <c r="F194">
        <v>209</v>
      </c>
    </row>
    <row r="195" spans="6:6" x14ac:dyDescent="0.25">
      <c r="F195">
        <v>210</v>
      </c>
    </row>
    <row r="196" spans="6:6" x14ac:dyDescent="0.25">
      <c r="F196">
        <v>211</v>
      </c>
    </row>
    <row r="197" spans="6:6" x14ac:dyDescent="0.25">
      <c r="F197">
        <v>212</v>
      </c>
    </row>
    <row r="198" spans="6:6" x14ac:dyDescent="0.25">
      <c r="F198">
        <v>213</v>
      </c>
    </row>
    <row r="199" spans="6:6" x14ac:dyDescent="0.25">
      <c r="F199">
        <v>214</v>
      </c>
    </row>
    <row r="200" spans="6:6" x14ac:dyDescent="0.25">
      <c r="F200">
        <v>215</v>
      </c>
    </row>
    <row r="201" spans="6:6" x14ac:dyDescent="0.25">
      <c r="F201">
        <v>216</v>
      </c>
    </row>
    <row r="202" spans="6:6" x14ac:dyDescent="0.25">
      <c r="F202">
        <v>217</v>
      </c>
    </row>
    <row r="203" spans="6:6" x14ac:dyDescent="0.25">
      <c r="F203">
        <v>218</v>
      </c>
    </row>
    <row r="204" spans="6:6" x14ac:dyDescent="0.25">
      <c r="F204">
        <v>219</v>
      </c>
    </row>
    <row r="205" spans="6:6" x14ac:dyDescent="0.25">
      <c r="F205">
        <v>220</v>
      </c>
    </row>
    <row r="206" spans="6:6" x14ac:dyDescent="0.25">
      <c r="F206">
        <v>221</v>
      </c>
    </row>
    <row r="207" spans="6:6" x14ac:dyDescent="0.25">
      <c r="F207">
        <v>222</v>
      </c>
    </row>
    <row r="208" spans="6:6" x14ac:dyDescent="0.25">
      <c r="F208">
        <v>223</v>
      </c>
    </row>
    <row r="209" spans="6:6" x14ac:dyDescent="0.25">
      <c r="F209">
        <v>224</v>
      </c>
    </row>
    <row r="210" spans="6:6" x14ac:dyDescent="0.25">
      <c r="F210">
        <v>225</v>
      </c>
    </row>
    <row r="211" spans="6:6" x14ac:dyDescent="0.25">
      <c r="F211">
        <v>226</v>
      </c>
    </row>
    <row r="212" spans="6:6" x14ac:dyDescent="0.25">
      <c r="F212">
        <v>227</v>
      </c>
    </row>
    <row r="213" spans="6:6" x14ac:dyDescent="0.25">
      <c r="F213">
        <v>228</v>
      </c>
    </row>
    <row r="214" spans="6:6" x14ac:dyDescent="0.25">
      <c r="F214">
        <v>229</v>
      </c>
    </row>
    <row r="215" spans="6:6" x14ac:dyDescent="0.25">
      <c r="F215">
        <v>230</v>
      </c>
    </row>
    <row r="216" spans="6:6" x14ac:dyDescent="0.25">
      <c r="F216">
        <v>231</v>
      </c>
    </row>
    <row r="217" spans="6:6" x14ac:dyDescent="0.25">
      <c r="F217">
        <v>232</v>
      </c>
    </row>
    <row r="218" spans="6:6" x14ac:dyDescent="0.25">
      <c r="F218">
        <v>233</v>
      </c>
    </row>
    <row r="219" spans="6:6" x14ac:dyDescent="0.25">
      <c r="F219">
        <v>234</v>
      </c>
    </row>
    <row r="220" spans="6:6" x14ac:dyDescent="0.25">
      <c r="F220">
        <v>235</v>
      </c>
    </row>
    <row r="221" spans="6:6" x14ac:dyDescent="0.25">
      <c r="F221">
        <v>236</v>
      </c>
    </row>
    <row r="222" spans="6:6" x14ac:dyDescent="0.25">
      <c r="F222">
        <v>237</v>
      </c>
    </row>
    <row r="223" spans="6:6" x14ac:dyDescent="0.25">
      <c r="F223">
        <v>238</v>
      </c>
    </row>
    <row r="224" spans="6:6" x14ac:dyDescent="0.25">
      <c r="F224">
        <v>239</v>
      </c>
    </row>
    <row r="225" spans="6:6" x14ac:dyDescent="0.25">
      <c r="F225">
        <v>240</v>
      </c>
    </row>
  </sheetData>
  <mergeCells count="2">
    <mergeCell ref="A23:E23"/>
    <mergeCell ref="F3:H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62C2-B5E3-45CD-BACF-6E7B20C27DC9}">
  <sheetPr codeName="Feuil14"/>
  <dimension ref="A2:H225"/>
  <sheetViews>
    <sheetView workbookViewId="0">
      <selection activeCell="I10" sqref="I10"/>
    </sheetView>
  </sheetViews>
  <sheetFormatPr baseColWidth="10" defaultRowHeight="15" x14ac:dyDescent="0.25"/>
  <cols>
    <col min="2" max="2" width="19.140625" customWidth="1"/>
  </cols>
  <sheetData>
    <row r="2" spans="1:8" ht="15.75" thickBot="1" x14ac:dyDescent="0.3"/>
    <row r="3" spans="1:8" ht="16.5" thickBot="1" x14ac:dyDescent="0.3">
      <c r="A3" s="1" t="s">
        <v>0</v>
      </c>
      <c r="F3" s="199" t="s">
        <v>30</v>
      </c>
      <c r="G3" s="200"/>
      <c r="H3" s="201"/>
    </row>
    <row r="4" spans="1:8" ht="15.75" thickBot="1" x14ac:dyDescent="0.3">
      <c r="A4" s="2" t="s">
        <v>1</v>
      </c>
      <c r="B4" s="3">
        <v>671.96</v>
      </c>
      <c r="F4" s="22" t="s">
        <v>136</v>
      </c>
      <c r="G4" s="24" t="s">
        <v>134</v>
      </c>
      <c r="H4" s="23" t="s">
        <v>135</v>
      </c>
    </row>
    <row r="5" spans="1:8" x14ac:dyDescent="0.25">
      <c r="A5" s="4" t="s">
        <v>2</v>
      </c>
      <c r="B5" s="5">
        <v>999.38000000000011</v>
      </c>
    </row>
    <row r="6" spans="1:8" x14ac:dyDescent="0.25">
      <c r="A6" s="4" t="s">
        <v>3</v>
      </c>
      <c r="B6" s="5">
        <v>1392.0700000000002</v>
      </c>
    </row>
    <row r="7" spans="1:8" ht="15.75" thickBot="1" x14ac:dyDescent="0.3">
      <c r="A7" s="6" t="s">
        <v>14</v>
      </c>
      <c r="B7" s="7">
        <v>1859.66</v>
      </c>
      <c r="F7" t="s">
        <v>19</v>
      </c>
    </row>
    <row r="8" spans="1:8" ht="15.75" thickBot="1" x14ac:dyDescent="0.3">
      <c r="F8">
        <v>1</v>
      </c>
      <c r="G8">
        <v>30</v>
      </c>
      <c r="H8">
        <v>60</v>
      </c>
    </row>
    <row r="9" spans="1:8" ht="15.75" thickBot="1" x14ac:dyDescent="0.3">
      <c r="A9" s="15" t="s">
        <v>4</v>
      </c>
      <c r="B9" s="8" t="s">
        <v>5</v>
      </c>
      <c r="C9" s="9" t="s">
        <v>6</v>
      </c>
      <c r="F9">
        <v>2</v>
      </c>
      <c r="G9">
        <v>61</v>
      </c>
      <c r="H9">
        <v>120</v>
      </c>
    </row>
    <row r="10" spans="1:8" x14ac:dyDescent="0.25">
      <c r="A10" s="16" t="s">
        <v>7</v>
      </c>
      <c r="B10" s="17">
        <v>74.900000000000006</v>
      </c>
      <c r="C10" s="3">
        <v>181.9</v>
      </c>
      <c r="F10">
        <v>3</v>
      </c>
      <c r="G10">
        <v>121</v>
      </c>
      <c r="H10">
        <v>180</v>
      </c>
    </row>
    <row r="11" spans="1:8" x14ac:dyDescent="0.25">
      <c r="A11" s="18" t="s">
        <v>8</v>
      </c>
      <c r="B11" s="14">
        <v>116.63000000000001</v>
      </c>
      <c r="C11" s="5">
        <v>223.63000000000002</v>
      </c>
      <c r="F11">
        <v>4</v>
      </c>
      <c r="G11">
        <v>181</v>
      </c>
      <c r="H11">
        <v>240</v>
      </c>
    </row>
    <row r="12" spans="1:8" x14ac:dyDescent="0.25">
      <c r="A12" s="18" t="s">
        <v>9</v>
      </c>
      <c r="B12" s="14">
        <v>90.95</v>
      </c>
      <c r="C12" s="5">
        <v>208.65</v>
      </c>
    </row>
    <row r="13" spans="1:8" x14ac:dyDescent="0.25">
      <c r="A13" s="18" t="s">
        <v>10</v>
      </c>
      <c r="B13" s="14">
        <v>156.22</v>
      </c>
      <c r="C13" s="5">
        <v>273.92</v>
      </c>
    </row>
    <row r="14" spans="1:8" x14ac:dyDescent="0.25">
      <c r="A14" s="18" t="s">
        <v>11</v>
      </c>
      <c r="B14" s="14">
        <v>107</v>
      </c>
      <c r="C14" s="5">
        <v>235.4</v>
      </c>
    </row>
    <row r="15" spans="1:8" x14ac:dyDescent="0.25">
      <c r="A15" s="18" t="s">
        <v>15</v>
      </c>
      <c r="B15" s="14">
        <v>197.95000000000002</v>
      </c>
      <c r="C15" s="5">
        <v>326.35000000000002</v>
      </c>
      <c r="F15">
        <v>30</v>
      </c>
      <c r="G15">
        <v>40</v>
      </c>
      <c r="H15">
        <v>120</v>
      </c>
    </row>
    <row r="16" spans="1:8" x14ac:dyDescent="0.25">
      <c r="A16" s="18" t="s">
        <v>16</v>
      </c>
      <c r="B16" s="14">
        <v>123.05000000000001</v>
      </c>
      <c r="C16" s="5">
        <v>262.15000000000003</v>
      </c>
      <c r="F16">
        <v>31</v>
      </c>
      <c r="G16">
        <v>41</v>
      </c>
      <c r="H16">
        <v>121</v>
      </c>
    </row>
    <row r="17" spans="1:8" ht="15.75" thickBot="1" x14ac:dyDescent="0.3">
      <c r="A17" s="19" t="s">
        <v>17</v>
      </c>
      <c r="B17" s="20">
        <v>240.75</v>
      </c>
      <c r="C17" s="7">
        <v>379.85</v>
      </c>
      <c r="F17">
        <v>32</v>
      </c>
      <c r="G17">
        <v>42</v>
      </c>
      <c r="H17">
        <v>122</v>
      </c>
    </row>
    <row r="18" spans="1:8" ht="15.75" thickBot="1" x14ac:dyDescent="0.3">
      <c r="B18" s="10"/>
      <c r="C18" s="10"/>
      <c r="F18">
        <v>33</v>
      </c>
      <c r="G18">
        <v>43</v>
      </c>
      <c r="H18">
        <v>123</v>
      </c>
    </row>
    <row r="19" spans="1:8" ht="15.75" thickBot="1" x14ac:dyDescent="0.3">
      <c r="A19" s="11" t="s">
        <v>12</v>
      </c>
      <c r="B19" s="12">
        <v>34.24</v>
      </c>
      <c r="C19" s="13">
        <v>47.080000000000005</v>
      </c>
      <c r="F19">
        <v>34</v>
      </c>
      <c r="G19">
        <v>44</v>
      </c>
      <c r="H19">
        <v>124</v>
      </c>
    </row>
    <row r="20" spans="1:8" ht="15.75" thickBot="1" x14ac:dyDescent="0.3">
      <c r="B20" s="10"/>
      <c r="C20" s="10"/>
      <c r="F20">
        <v>35</v>
      </c>
      <c r="G20">
        <v>45</v>
      </c>
      <c r="H20">
        <v>125</v>
      </c>
    </row>
    <row r="21" spans="1:8" ht="15.75" thickBot="1" x14ac:dyDescent="0.3">
      <c r="A21" s="11" t="s">
        <v>13</v>
      </c>
      <c r="B21" s="12">
        <v>22.470000000000002</v>
      </c>
      <c r="C21" s="13">
        <v>32.1</v>
      </c>
      <c r="F21">
        <v>36</v>
      </c>
      <c r="G21">
        <v>46</v>
      </c>
      <c r="H21">
        <v>126</v>
      </c>
    </row>
    <row r="22" spans="1:8" x14ac:dyDescent="0.25">
      <c r="F22">
        <v>37</v>
      </c>
      <c r="G22">
        <v>47</v>
      </c>
      <c r="H22">
        <v>127</v>
      </c>
    </row>
    <row r="23" spans="1:8" x14ac:dyDescent="0.25">
      <c r="A23" s="198" t="s">
        <v>20</v>
      </c>
      <c r="B23" s="198"/>
      <c r="C23" s="198"/>
      <c r="D23" s="198"/>
      <c r="E23" s="198"/>
      <c r="F23">
        <v>38</v>
      </c>
      <c r="G23">
        <v>48</v>
      </c>
      <c r="H23">
        <v>128</v>
      </c>
    </row>
    <row r="24" spans="1:8" x14ac:dyDescent="0.25">
      <c r="F24">
        <v>39</v>
      </c>
      <c r="G24">
        <v>49</v>
      </c>
      <c r="H24">
        <v>129</v>
      </c>
    </row>
    <row r="25" spans="1:8" x14ac:dyDescent="0.25">
      <c r="A25" t="s">
        <v>21</v>
      </c>
      <c r="B25">
        <f>IF('Calcu Mad EN'!E6=1,'Données Mad EN'!B4,IF('Calcu Mad EN'!E6=2,'Données Mad EN'!B5,(IF('Calcu Mad EN'!E6=3,'Données Mad EN'!B6,(IF('Calcu Mad EN'!E6=4,'Données Mad EN'!B7,0))))))</f>
        <v>999.38000000000011</v>
      </c>
      <c r="F25">
        <v>40</v>
      </c>
      <c r="G25">
        <v>50</v>
      </c>
      <c r="H25">
        <v>130</v>
      </c>
    </row>
    <row r="26" spans="1:8" x14ac:dyDescent="0.25">
      <c r="A26" t="s">
        <v>22</v>
      </c>
      <c r="B26">
        <f>IF('Calcu Mad EN'!D6="oui",1.4,1)</f>
        <v>1</v>
      </c>
      <c r="F26">
        <v>41</v>
      </c>
      <c r="G26">
        <v>51</v>
      </c>
      <c r="H26">
        <v>131</v>
      </c>
    </row>
    <row r="27" spans="1:8" x14ac:dyDescent="0.25">
      <c r="A27" t="s">
        <v>23</v>
      </c>
      <c r="B27">
        <f>IF('Calcu Mad EN'!D9="non",1,IF(B26=1,1.4,1.1))</f>
        <v>1</v>
      </c>
      <c r="C27">
        <f>B26+B27</f>
        <v>2</v>
      </c>
      <c r="F27">
        <v>42</v>
      </c>
      <c r="G27">
        <v>52</v>
      </c>
      <c r="H27">
        <v>132</v>
      </c>
    </row>
    <row r="28" spans="1:8" x14ac:dyDescent="0.25">
      <c r="A28" t="s">
        <v>24</v>
      </c>
      <c r="B28">
        <f>IF('Calcu Mad EN'!D12="non",1,IF(C27=2,1.4,1.1))</f>
        <v>1</v>
      </c>
      <c r="F28">
        <v>43</v>
      </c>
      <c r="G28">
        <v>53</v>
      </c>
      <c r="H28">
        <v>133</v>
      </c>
    </row>
    <row r="29" spans="1:8" x14ac:dyDescent="0.25">
      <c r="A29" t="s">
        <v>25</v>
      </c>
      <c r="B29">
        <f>('Calcu Mad EN'!C6/100)*('Calcu Mad EN'!C9/100)*('Calcu Mad EN'!C12/100)</f>
        <v>0.97680000000000011</v>
      </c>
      <c r="F29">
        <v>44</v>
      </c>
      <c r="G29">
        <v>54</v>
      </c>
      <c r="H29">
        <v>134</v>
      </c>
    </row>
    <row r="30" spans="1:8" x14ac:dyDescent="0.25">
      <c r="A30" t="s">
        <v>26</v>
      </c>
      <c r="B30">
        <f>IF('Calcu Mad EN'!E6=1,0.52,IF('Calcu Mad EN'!E6=2,0.98,(IF('Calcu Mad EN'!E6=3,1.46,(IF('Calcu Mad EN'!E6=4,1.95,0))))))</f>
        <v>0.98</v>
      </c>
      <c r="F30">
        <v>45</v>
      </c>
      <c r="G30">
        <v>55</v>
      </c>
      <c r="H30">
        <v>135</v>
      </c>
    </row>
    <row r="31" spans="1:8" x14ac:dyDescent="0.25">
      <c r="A31" t="s">
        <v>27</v>
      </c>
      <c r="B31">
        <f>IF('Calcu Mad EN'!C15="non",0,(IF(AND('Calcu Mad EN'!C15=G4,'Calcu Mad EN'!E6=1,'Calcu Mad EN'!D6="non"),'Données Mad EN'!B10,(IF(AND('Calcu Mad EN'!C15=G4,'Calcu Mad EN'!E6=1,'Calcu Mad EN'!D6="oui"),'Données Mad EN'!C10,(IF(AND('Calcu Mad EN'!C15=H4,'Calcu Mad EN'!E6=1,'Calcu Mad EN'!D6="non"),'Données Mad EN'!B11,(IF(AND('Calcu Mad EN'!C15=H4,'Calcu Mad EN'!E6=1,'Calcu Mad EN'!D6="oui"),'Données Mad EN'!C11,(IF(AND('Calcu Mad EN'!C15=G4,'Calcu Mad EN'!E6=2,'Calcu Mad EN'!D6="non"),'Données Mad EN'!B12,(IF(AND('Calcu Mad EN'!C15=G4,'Calcu Mad EN'!E6=2,'Calcu Mad EN'!D6="oui"),'Données Mad EN'!C12,(IF(AND('Calcu Mad EN'!C15=H4,'Calcu Mad EN'!E6=2,'Calcu Mad EN'!D6="non"),'Données Mad EN'!B13,(IF(AND('Calcu Mad EN'!C15=H4,'Calcu Mad EN'!E6=2,'Calcu Mad EN'!D6="oui"),'Données Mad EN'!C13,(IF(AND('Calcu Mad EN'!C15=G4,'Calcu Mad EN'!E6=3,'Calcu Mad EN'!D6="non"),'Données Mad EN'!B14,(IF(AND('Calcu Mad EN'!C15=G4,'Calcu Mad EN'!E6=3,'Calcu Mad EN'!D6="oui"),'Données Mad EN'!C14,(IF(AND('Calcu Mad EN'!C15=H4,'Calcu Mad EN'!E6=3,'Calcu Mad EN'!D6="non"),'Données Mad EN'!B15,(IF(AND('Calcu Mad EN'!C15=H4,'Calcu Mad EN'!E6=3,'Calcu Mad EN'!D6="oui"),'Données Mad EN'!C15,(IF(AND('Calcu Mad EN'!C15=G4,'Calcu Mad EN'!E6=4,'Calcu Mad EN'!D6="non"),'Données Mad EN'!B16,(IF(AND('Calcu Mad EN'!C15=G4,'Calcu Mad EN'!E6=4,'Calcu Mad EN'!D6="oui"),'Données Mad EN'!C16,(IF(AND('Calcu Mad EN'!C15=H4,'Calcu Mad EN'!E6=4,'Calcu Mad EN'!D6="non"),'Données Mad EN'!B17,(IF(AND('Calcu Mad EN'!C15=H4,'Calcu Mad EN'!E6=4,'Calcu Mad EN'!D6="oui"),'Données Mad EN'!C17,10000)))))))))))))))))))))))))))))))))</f>
        <v>0</v>
      </c>
      <c r="F31">
        <v>46</v>
      </c>
      <c r="G31">
        <v>56</v>
      </c>
      <c r="H31">
        <v>136</v>
      </c>
    </row>
    <row r="32" spans="1:8" x14ac:dyDescent="0.25">
      <c r="A32" t="s">
        <v>28</v>
      </c>
      <c r="B32">
        <f>IF(AND(B26=1,B27=1),B19*'Calcu Mad EN'!C17,C19*'Calcu Mad EN'!C17)</f>
        <v>205.44</v>
      </c>
      <c r="F32">
        <v>47</v>
      </c>
      <c r="G32">
        <v>57</v>
      </c>
      <c r="H32">
        <v>137</v>
      </c>
    </row>
    <row r="33" spans="1:8" x14ac:dyDescent="0.25">
      <c r="A33" t="s">
        <v>29</v>
      </c>
      <c r="B33">
        <f>IF(B26=1,B21*'Calcu Mad EN'!C19,'Calcu Mad EN'!C19*C21)</f>
        <v>22.470000000000002</v>
      </c>
      <c r="F33">
        <v>48</v>
      </c>
      <c r="G33">
        <v>58</v>
      </c>
      <c r="H33">
        <v>138</v>
      </c>
    </row>
    <row r="34" spans="1:8" x14ac:dyDescent="0.25">
      <c r="F34">
        <v>49</v>
      </c>
      <c r="G34">
        <v>59</v>
      </c>
      <c r="H34">
        <v>139</v>
      </c>
    </row>
    <row r="35" spans="1:8" x14ac:dyDescent="0.25">
      <c r="F35" s="21">
        <v>50</v>
      </c>
      <c r="G35">
        <v>60</v>
      </c>
      <c r="H35">
        <v>140</v>
      </c>
    </row>
    <row r="36" spans="1:8" x14ac:dyDescent="0.25">
      <c r="F36">
        <v>51</v>
      </c>
      <c r="H36">
        <v>141</v>
      </c>
    </row>
    <row r="37" spans="1:8" x14ac:dyDescent="0.25">
      <c r="F37">
        <v>52</v>
      </c>
      <c r="H37">
        <v>142</v>
      </c>
    </row>
    <row r="38" spans="1:8" x14ac:dyDescent="0.25">
      <c r="F38">
        <v>53</v>
      </c>
      <c r="H38">
        <v>143</v>
      </c>
    </row>
    <row r="39" spans="1:8" x14ac:dyDescent="0.25">
      <c r="F39">
        <v>54</v>
      </c>
      <c r="H39">
        <v>144</v>
      </c>
    </row>
    <row r="40" spans="1:8" x14ac:dyDescent="0.25">
      <c r="F40">
        <v>55</v>
      </c>
      <c r="H40">
        <v>145</v>
      </c>
    </row>
    <row r="41" spans="1:8" x14ac:dyDescent="0.25">
      <c r="F41">
        <v>56</v>
      </c>
      <c r="H41">
        <v>146</v>
      </c>
    </row>
    <row r="42" spans="1:8" x14ac:dyDescent="0.25">
      <c r="F42">
        <v>57</v>
      </c>
      <c r="H42">
        <v>147</v>
      </c>
    </row>
    <row r="43" spans="1:8" x14ac:dyDescent="0.25">
      <c r="F43">
        <v>58</v>
      </c>
      <c r="H43">
        <v>148</v>
      </c>
    </row>
    <row r="44" spans="1:8" x14ac:dyDescent="0.25">
      <c r="F44">
        <v>59</v>
      </c>
      <c r="H44">
        <v>149</v>
      </c>
    </row>
    <row r="45" spans="1:8" x14ac:dyDescent="0.25">
      <c r="F45">
        <v>60</v>
      </c>
      <c r="H45">
        <v>150</v>
      </c>
    </row>
    <row r="46" spans="1:8" x14ac:dyDescent="0.25">
      <c r="F46">
        <v>61</v>
      </c>
      <c r="H46">
        <v>151</v>
      </c>
    </row>
    <row r="47" spans="1:8" x14ac:dyDescent="0.25">
      <c r="F47">
        <v>62</v>
      </c>
      <c r="H47">
        <v>152</v>
      </c>
    </row>
    <row r="48" spans="1:8" x14ac:dyDescent="0.25">
      <c r="F48">
        <v>63</v>
      </c>
      <c r="H48">
        <v>153</v>
      </c>
    </row>
    <row r="49" spans="6:8" x14ac:dyDescent="0.25">
      <c r="F49">
        <v>64</v>
      </c>
      <c r="H49">
        <v>154</v>
      </c>
    </row>
    <row r="50" spans="6:8" x14ac:dyDescent="0.25">
      <c r="F50">
        <v>65</v>
      </c>
      <c r="H50">
        <v>155</v>
      </c>
    </row>
    <row r="51" spans="6:8" x14ac:dyDescent="0.25">
      <c r="F51">
        <v>66</v>
      </c>
      <c r="H51">
        <v>156</v>
      </c>
    </row>
    <row r="52" spans="6:8" x14ac:dyDescent="0.25">
      <c r="F52">
        <v>67</v>
      </c>
      <c r="H52">
        <v>157</v>
      </c>
    </row>
    <row r="53" spans="6:8" x14ac:dyDescent="0.25">
      <c r="F53">
        <v>68</v>
      </c>
      <c r="H53">
        <v>158</v>
      </c>
    </row>
    <row r="54" spans="6:8" x14ac:dyDescent="0.25">
      <c r="F54">
        <v>69</v>
      </c>
      <c r="H54">
        <v>159</v>
      </c>
    </row>
    <row r="55" spans="6:8" x14ac:dyDescent="0.25">
      <c r="F55">
        <v>70</v>
      </c>
      <c r="H55">
        <v>160</v>
      </c>
    </row>
    <row r="56" spans="6:8" x14ac:dyDescent="0.25">
      <c r="F56">
        <v>71</v>
      </c>
      <c r="H56">
        <v>161</v>
      </c>
    </row>
    <row r="57" spans="6:8" x14ac:dyDescent="0.25">
      <c r="F57">
        <v>72</v>
      </c>
      <c r="H57">
        <v>162</v>
      </c>
    </row>
    <row r="58" spans="6:8" x14ac:dyDescent="0.25">
      <c r="F58">
        <v>73</v>
      </c>
      <c r="H58">
        <v>163</v>
      </c>
    </row>
    <row r="59" spans="6:8" x14ac:dyDescent="0.25">
      <c r="F59">
        <v>74</v>
      </c>
      <c r="H59">
        <v>164</v>
      </c>
    </row>
    <row r="60" spans="6:8" x14ac:dyDescent="0.25">
      <c r="F60">
        <v>75</v>
      </c>
      <c r="H60">
        <v>165</v>
      </c>
    </row>
    <row r="61" spans="6:8" x14ac:dyDescent="0.25">
      <c r="F61">
        <v>76</v>
      </c>
      <c r="H61">
        <v>166</v>
      </c>
    </row>
    <row r="62" spans="6:8" x14ac:dyDescent="0.25">
      <c r="F62">
        <v>77</v>
      </c>
      <c r="H62">
        <v>167</v>
      </c>
    </row>
    <row r="63" spans="6:8" x14ac:dyDescent="0.25">
      <c r="F63">
        <v>78</v>
      </c>
      <c r="H63">
        <v>168</v>
      </c>
    </row>
    <row r="64" spans="6:8" x14ac:dyDescent="0.25">
      <c r="F64">
        <v>79</v>
      </c>
      <c r="H64">
        <v>169</v>
      </c>
    </row>
    <row r="65" spans="6:8" x14ac:dyDescent="0.25">
      <c r="F65">
        <v>80</v>
      </c>
      <c r="H65">
        <v>170</v>
      </c>
    </row>
    <row r="66" spans="6:8" x14ac:dyDescent="0.25">
      <c r="F66">
        <v>81</v>
      </c>
      <c r="H66">
        <v>171</v>
      </c>
    </row>
    <row r="67" spans="6:8" x14ac:dyDescent="0.25">
      <c r="F67">
        <v>82</v>
      </c>
      <c r="H67">
        <v>172</v>
      </c>
    </row>
    <row r="68" spans="6:8" x14ac:dyDescent="0.25">
      <c r="F68">
        <v>83</v>
      </c>
      <c r="H68">
        <v>173</v>
      </c>
    </row>
    <row r="69" spans="6:8" x14ac:dyDescent="0.25">
      <c r="F69">
        <v>84</v>
      </c>
      <c r="H69">
        <v>174</v>
      </c>
    </row>
    <row r="70" spans="6:8" x14ac:dyDescent="0.25">
      <c r="F70">
        <v>85</v>
      </c>
      <c r="H70">
        <v>175</v>
      </c>
    </row>
    <row r="71" spans="6:8" x14ac:dyDescent="0.25">
      <c r="F71">
        <v>86</v>
      </c>
      <c r="H71">
        <v>176</v>
      </c>
    </row>
    <row r="72" spans="6:8" x14ac:dyDescent="0.25">
      <c r="F72">
        <v>87</v>
      </c>
      <c r="H72">
        <v>177</v>
      </c>
    </row>
    <row r="73" spans="6:8" x14ac:dyDescent="0.25">
      <c r="F73">
        <v>88</v>
      </c>
      <c r="H73">
        <v>178</v>
      </c>
    </row>
    <row r="74" spans="6:8" x14ac:dyDescent="0.25">
      <c r="F74">
        <v>89</v>
      </c>
      <c r="H74">
        <v>179</v>
      </c>
    </row>
    <row r="75" spans="6:8" x14ac:dyDescent="0.25">
      <c r="F75">
        <v>90</v>
      </c>
      <c r="H75">
        <v>180</v>
      </c>
    </row>
    <row r="76" spans="6:8" x14ac:dyDescent="0.25">
      <c r="F76">
        <v>91</v>
      </c>
      <c r="H76">
        <v>181</v>
      </c>
    </row>
    <row r="77" spans="6:8" x14ac:dyDescent="0.25">
      <c r="F77">
        <v>92</v>
      </c>
      <c r="H77">
        <v>182</v>
      </c>
    </row>
    <row r="78" spans="6:8" x14ac:dyDescent="0.25">
      <c r="F78">
        <v>93</v>
      </c>
      <c r="H78">
        <v>183</v>
      </c>
    </row>
    <row r="79" spans="6:8" x14ac:dyDescent="0.25">
      <c r="F79">
        <v>94</v>
      </c>
      <c r="H79">
        <v>184</v>
      </c>
    </row>
    <row r="80" spans="6:8" x14ac:dyDescent="0.25">
      <c r="F80">
        <v>95</v>
      </c>
      <c r="H80">
        <v>185</v>
      </c>
    </row>
    <row r="81" spans="6:8" x14ac:dyDescent="0.25">
      <c r="F81" s="21">
        <v>96</v>
      </c>
      <c r="H81">
        <v>186</v>
      </c>
    </row>
    <row r="82" spans="6:8" x14ac:dyDescent="0.25">
      <c r="F82">
        <v>97</v>
      </c>
      <c r="H82">
        <v>187</v>
      </c>
    </row>
    <row r="83" spans="6:8" x14ac:dyDescent="0.25">
      <c r="F83">
        <v>98</v>
      </c>
      <c r="H83">
        <v>188</v>
      </c>
    </row>
    <row r="84" spans="6:8" x14ac:dyDescent="0.25">
      <c r="F84">
        <v>99</v>
      </c>
      <c r="H84">
        <v>189</v>
      </c>
    </row>
    <row r="85" spans="6:8" x14ac:dyDescent="0.25">
      <c r="F85">
        <v>100</v>
      </c>
      <c r="H85">
        <v>190</v>
      </c>
    </row>
    <row r="86" spans="6:8" x14ac:dyDescent="0.25">
      <c r="F86">
        <v>101</v>
      </c>
      <c r="H86">
        <v>191</v>
      </c>
    </row>
    <row r="87" spans="6:8" x14ac:dyDescent="0.25">
      <c r="F87">
        <v>102</v>
      </c>
      <c r="H87">
        <v>192</v>
      </c>
    </row>
    <row r="88" spans="6:8" x14ac:dyDescent="0.25">
      <c r="F88">
        <v>103</v>
      </c>
      <c r="H88">
        <v>193</v>
      </c>
    </row>
    <row r="89" spans="6:8" x14ac:dyDescent="0.25">
      <c r="F89">
        <v>104</v>
      </c>
      <c r="H89">
        <v>194</v>
      </c>
    </row>
    <row r="90" spans="6:8" x14ac:dyDescent="0.25">
      <c r="F90">
        <v>105</v>
      </c>
      <c r="H90">
        <v>195</v>
      </c>
    </row>
    <row r="91" spans="6:8" x14ac:dyDescent="0.25">
      <c r="F91">
        <v>106</v>
      </c>
      <c r="H91">
        <v>196</v>
      </c>
    </row>
    <row r="92" spans="6:8" x14ac:dyDescent="0.25">
      <c r="F92">
        <v>107</v>
      </c>
      <c r="H92">
        <v>197</v>
      </c>
    </row>
    <row r="93" spans="6:8" x14ac:dyDescent="0.25">
      <c r="F93">
        <v>108</v>
      </c>
      <c r="H93">
        <v>198</v>
      </c>
    </row>
    <row r="94" spans="6:8" x14ac:dyDescent="0.25">
      <c r="F94">
        <v>109</v>
      </c>
      <c r="H94">
        <v>199</v>
      </c>
    </row>
    <row r="95" spans="6:8" x14ac:dyDescent="0.25">
      <c r="F95">
        <v>110</v>
      </c>
      <c r="H95">
        <v>200</v>
      </c>
    </row>
    <row r="96" spans="6:8" x14ac:dyDescent="0.25">
      <c r="F96">
        <v>111</v>
      </c>
      <c r="H96">
        <v>201</v>
      </c>
    </row>
    <row r="97" spans="6:8" x14ac:dyDescent="0.25">
      <c r="F97">
        <v>112</v>
      </c>
      <c r="H97">
        <v>202</v>
      </c>
    </row>
    <row r="98" spans="6:8" x14ac:dyDescent="0.25">
      <c r="F98">
        <v>113</v>
      </c>
      <c r="H98">
        <v>203</v>
      </c>
    </row>
    <row r="99" spans="6:8" x14ac:dyDescent="0.25">
      <c r="F99">
        <v>114</v>
      </c>
      <c r="H99">
        <v>204</v>
      </c>
    </row>
    <row r="100" spans="6:8" x14ac:dyDescent="0.25">
      <c r="F100">
        <v>115</v>
      </c>
      <c r="H100">
        <v>205</v>
      </c>
    </row>
    <row r="101" spans="6:8" x14ac:dyDescent="0.25">
      <c r="F101">
        <v>116</v>
      </c>
      <c r="H101">
        <v>206</v>
      </c>
    </row>
    <row r="102" spans="6:8" x14ac:dyDescent="0.25">
      <c r="F102">
        <v>117</v>
      </c>
      <c r="H102">
        <v>207</v>
      </c>
    </row>
    <row r="103" spans="6:8" x14ac:dyDescent="0.25">
      <c r="F103">
        <v>118</v>
      </c>
      <c r="H103">
        <v>208</v>
      </c>
    </row>
    <row r="104" spans="6:8" x14ac:dyDescent="0.25">
      <c r="F104">
        <v>119</v>
      </c>
      <c r="H104">
        <v>209</v>
      </c>
    </row>
    <row r="105" spans="6:8" x14ac:dyDescent="0.25">
      <c r="F105">
        <v>120</v>
      </c>
      <c r="H105">
        <v>210</v>
      </c>
    </row>
    <row r="106" spans="6:8" x14ac:dyDescent="0.25">
      <c r="F106">
        <v>121</v>
      </c>
      <c r="H106">
        <v>211</v>
      </c>
    </row>
    <row r="107" spans="6:8" x14ac:dyDescent="0.25">
      <c r="F107">
        <v>122</v>
      </c>
      <c r="H107">
        <v>212</v>
      </c>
    </row>
    <row r="108" spans="6:8" x14ac:dyDescent="0.25">
      <c r="F108">
        <v>123</v>
      </c>
      <c r="H108">
        <v>213</v>
      </c>
    </row>
    <row r="109" spans="6:8" x14ac:dyDescent="0.25">
      <c r="F109">
        <v>124</v>
      </c>
      <c r="H109">
        <v>214</v>
      </c>
    </row>
    <row r="110" spans="6:8" x14ac:dyDescent="0.25">
      <c r="F110">
        <v>125</v>
      </c>
      <c r="H110">
        <v>215</v>
      </c>
    </row>
    <row r="111" spans="6:8" x14ac:dyDescent="0.25">
      <c r="F111">
        <v>126</v>
      </c>
      <c r="H111">
        <v>216</v>
      </c>
    </row>
    <row r="112" spans="6:8" x14ac:dyDescent="0.25">
      <c r="F112">
        <v>127</v>
      </c>
      <c r="H112">
        <v>217</v>
      </c>
    </row>
    <row r="113" spans="6:8" x14ac:dyDescent="0.25">
      <c r="F113">
        <v>128</v>
      </c>
      <c r="H113">
        <v>218</v>
      </c>
    </row>
    <row r="114" spans="6:8" x14ac:dyDescent="0.25">
      <c r="F114">
        <v>129</v>
      </c>
      <c r="H114">
        <v>219</v>
      </c>
    </row>
    <row r="115" spans="6:8" x14ac:dyDescent="0.25">
      <c r="F115">
        <v>130</v>
      </c>
      <c r="H115">
        <v>220</v>
      </c>
    </row>
    <row r="116" spans="6:8" x14ac:dyDescent="0.25">
      <c r="F116">
        <v>131</v>
      </c>
      <c r="H116">
        <v>221</v>
      </c>
    </row>
    <row r="117" spans="6:8" x14ac:dyDescent="0.25">
      <c r="F117">
        <v>132</v>
      </c>
      <c r="H117">
        <v>222</v>
      </c>
    </row>
    <row r="118" spans="6:8" x14ac:dyDescent="0.25">
      <c r="F118">
        <v>133</v>
      </c>
      <c r="H118">
        <v>223</v>
      </c>
    </row>
    <row r="119" spans="6:8" x14ac:dyDescent="0.25">
      <c r="F119">
        <v>134</v>
      </c>
      <c r="H119">
        <v>224</v>
      </c>
    </row>
    <row r="120" spans="6:8" x14ac:dyDescent="0.25">
      <c r="F120">
        <v>135</v>
      </c>
      <c r="H120">
        <v>225</v>
      </c>
    </row>
    <row r="121" spans="6:8" x14ac:dyDescent="0.25">
      <c r="F121">
        <v>136</v>
      </c>
      <c r="H121">
        <v>226</v>
      </c>
    </row>
    <row r="122" spans="6:8" x14ac:dyDescent="0.25">
      <c r="F122">
        <v>137</v>
      </c>
      <c r="H122">
        <v>227</v>
      </c>
    </row>
    <row r="123" spans="6:8" x14ac:dyDescent="0.25">
      <c r="F123">
        <v>138</v>
      </c>
      <c r="H123">
        <v>228</v>
      </c>
    </row>
    <row r="124" spans="6:8" x14ac:dyDescent="0.25">
      <c r="F124">
        <v>139</v>
      </c>
      <c r="H124">
        <v>229</v>
      </c>
    </row>
    <row r="125" spans="6:8" x14ac:dyDescent="0.25">
      <c r="F125">
        <v>140</v>
      </c>
      <c r="H125">
        <v>230</v>
      </c>
    </row>
    <row r="126" spans="6:8" x14ac:dyDescent="0.25">
      <c r="F126">
        <v>141</v>
      </c>
      <c r="H126">
        <v>231</v>
      </c>
    </row>
    <row r="127" spans="6:8" x14ac:dyDescent="0.25">
      <c r="F127">
        <v>142</v>
      </c>
      <c r="H127">
        <v>232</v>
      </c>
    </row>
    <row r="128" spans="6:8" x14ac:dyDescent="0.25">
      <c r="F128" s="21">
        <v>143</v>
      </c>
      <c r="H128">
        <v>233</v>
      </c>
    </row>
    <row r="129" spans="6:8" x14ac:dyDescent="0.25">
      <c r="F129">
        <v>144</v>
      </c>
      <c r="H129">
        <v>234</v>
      </c>
    </row>
    <row r="130" spans="6:8" x14ac:dyDescent="0.25">
      <c r="F130">
        <v>145</v>
      </c>
      <c r="H130">
        <v>235</v>
      </c>
    </row>
    <row r="131" spans="6:8" x14ac:dyDescent="0.25">
      <c r="F131">
        <v>146</v>
      </c>
      <c r="H131">
        <v>236</v>
      </c>
    </row>
    <row r="132" spans="6:8" x14ac:dyDescent="0.25">
      <c r="F132">
        <v>147</v>
      </c>
      <c r="H132">
        <v>237</v>
      </c>
    </row>
    <row r="133" spans="6:8" x14ac:dyDescent="0.25">
      <c r="F133">
        <v>148</v>
      </c>
      <c r="H133">
        <v>238</v>
      </c>
    </row>
    <row r="134" spans="6:8" x14ac:dyDescent="0.25">
      <c r="F134">
        <v>149</v>
      </c>
      <c r="H134">
        <v>239</v>
      </c>
    </row>
    <row r="135" spans="6:8" x14ac:dyDescent="0.25">
      <c r="F135">
        <v>150</v>
      </c>
      <c r="H135">
        <v>240</v>
      </c>
    </row>
    <row r="136" spans="6:8" x14ac:dyDescent="0.25">
      <c r="F136">
        <v>151</v>
      </c>
    </row>
    <row r="137" spans="6:8" x14ac:dyDescent="0.25">
      <c r="F137">
        <v>152</v>
      </c>
    </row>
    <row r="138" spans="6:8" x14ac:dyDescent="0.25">
      <c r="F138">
        <v>153</v>
      </c>
    </row>
    <row r="139" spans="6:8" x14ac:dyDescent="0.25">
      <c r="F139">
        <v>154</v>
      </c>
    </row>
    <row r="140" spans="6:8" x14ac:dyDescent="0.25">
      <c r="F140">
        <v>155</v>
      </c>
    </row>
    <row r="141" spans="6:8" x14ac:dyDescent="0.25">
      <c r="F141">
        <v>156</v>
      </c>
    </row>
    <row r="142" spans="6:8" x14ac:dyDescent="0.25">
      <c r="F142">
        <v>157</v>
      </c>
    </row>
    <row r="143" spans="6:8" x14ac:dyDescent="0.25">
      <c r="F143">
        <v>158</v>
      </c>
    </row>
    <row r="144" spans="6:8" x14ac:dyDescent="0.25">
      <c r="F144">
        <v>159</v>
      </c>
    </row>
    <row r="145" spans="6:6" x14ac:dyDescent="0.25">
      <c r="F145">
        <v>160</v>
      </c>
    </row>
    <row r="146" spans="6:6" x14ac:dyDescent="0.25">
      <c r="F146">
        <v>161</v>
      </c>
    </row>
    <row r="147" spans="6:6" x14ac:dyDescent="0.25">
      <c r="F147">
        <v>162</v>
      </c>
    </row>
    <row r="148" spans="6:6" x14ac:dyDescent="0.25">
      <c r="F148">
        <v>163</v>
      </c>
    </row>
    <row r="149" spans="6:6" x14ac:dyDescent="0.25">
      <c r="F149">
        <v>164</v>
      </c>
    </row>
    <row r="150" spans="6:6" x14ac:dyDescent="0.25">
      <c r="F150">
        <v>165</v>
      </c>
    </row>
    <row r="151" spans="6:6" x14ac:dyDescent="0.25">
      <c r="F151">
        <v>166</v>
      </c>
    </row>
    <row r="152" spans="6:6" x14ac:dyDescent="0.25">
      <c r="F152">
        <v>167</v>
      </c>
    </row>
    <row r="153" spans="6:6" x14ac:dyDescent="0.25">
      <c r="F153">
        <v>168</v>
      </c>
    </row>
    <row r="154" spans="6:6" x14ac:dyDescent="0.25">
      <c r="F154">
        <v>169</v>
      </c>
    </row>
    <row r="155" spans="6:6" x14ac:dyDescent="0.25">
      <c r="F155">
        <v>170</v>
      </c>
    </row>
    <row r="156" spans="6:6" x14ac:dyDescent="0.25">
      <c r="F156">
        <v>171</v>
      </c>
    </row>
    <row r="157" spans="6:6" x14ac:dyDescent="0.25">
      <c r="F157">
        <v>172</v>
      </c>
    </row>
    <row r="158" spans="6:6" x14ac:dyDescent="0.25">
      <c r="F158">
        <v>173</v>
      </c>
    </row>
    <row r="159" spans="6:6" x14ac:dyDescent="0.25">
      <c r="F159">
        <v>174</v>
      </c>
    </row>
    <row r="160" spans="6:6" x14ac:dyDescent="0.25">
      <c r="F160">
        <v>175</v>
      </c>
    </row>
    <row r="161" spans="6:6" x14ac:dyDescent="0.25">
      <c r="F161">
        <v>176</v>
      </c>
    </row>
    <row r="162" spans="6:6" x14ac:dyDescent="0.25">
      <c r="F162">
        <v>177</v>
      </c>
    </row>
    <row r="163" spans="6:6" x14ac:dyDescent="0.25">
      <c r="F163">
        <v>178</v>
      </c>
    </row>
    <row r="164" spans="6:6" x14ac:dyDescent="0.25">
      <c r="F164">
        <v>179</v>
      </c>
    </row>
    <row r="165" spans="6:6" x14ac:dyDescent="0.25">
      <c r="F165">
        <v>180</v>
      </c>
    </row>
    <row r="166" spans="6:6" x14ac:dyDescent="0.25">
      <c r="F166">
        <v>181</v>
      </c>
    </row>
    <row r="167" spans="6:6" x14ac:dyDescent="0.25">
      <c r="F167">
        <v>182</v>
      </c>
    </row>
    <row r="168" spans="6:6" x14ac:dyDescent="0.25">
      <c r="F168">
        <v>183</v>
      </c>
    </row>
    <row r="169" spans="6:6" x14ac:dyDescent="0.25">
      <c r="F169">
        <v>184</v>
      </c>
    </row>
    <row r="170" spans="6:6" x14ac:dyDescent="0.25">
      <c r="F170">
        <v>185</v>
      </c>
    </row>
    <row r="171" spans="6:6" x14ac:dyDescent="0.25">
      <c r="F171">
        <v>186</v>
      </c>
    </row>
    <row r="172" spans="6:6" x14ac:dyDescent="0.25">
      <c r="F172">
        <v>187</v>
      </c>
    </row>
    <row r="173" spans="6:6" x14ac:dyDescent="0.25">
      <c r="F173">
        <v>188</v>
      </c>
    </row>
    <row r="174" spans="6:6" x14ac:dyDescent="0.25">
      <c r="F174">
        <v>189</v>
      </c>
    </row>
    <row r="175" spans="6:6" x14ac:dyDescent="0.25">
      <c r="F175">
        <v>190</v>
      </c>
    </row>
    <row r="176" spans="6:6" x14ac:dyDescent="0.25">
      <c r="F176">
        <v>191</v>
      </c>
    </row>
    <row r="177" spans="6:6" x14ac:dyDescent="0.25">
      <c r="F177">
        <v>192</v>
      </c>
    </row>
    <row r="178" spans="6:6" x14ac:dyDescent="0.25">
      <c r="F178">
        <v>193</v>
      </c>
    </row>
    <row r="179" spans="6:6" x14ac:dyDescent="0.25">
      <c r="F179">
        <v>194</v>
      </c>
    </row>
    <row r="180" spans="6:6" x14ac:dyDescent="0.25">
      <c r="F180">
        <v>195</v>
      </c>
    </row>
    <row r="181" spans="6:6" x14ac:dyDescent="0.25">
      <c r="F181">
        <v>196</v>
      </c>
    </row>
    <row r="182" spans="6:6" x14ac:dyDescent="0.25">
      <c r="F182">
        <v>197</v>
      </c>
    </row>
    <row r="183" spans="6:6" x14ac:dyDescent="0.25">
      <c r="F183">
        <v>198</v>
      </c>
    </row>
    <row r="184" spans="6:6" x14ac:dyDescent="0.25">
      <c r="F184">
        <v>199</v>
      </c>
    </row>
    <row r="185" spans="6:6" x14ac:dyDescent="0.25">
      <c r="F185">
        <v>200</v>
      </c>
    </row>
    <row r="186" spans="6:6" x14ac:dyDescent="0.25">
      <c r="F186">
        <v>201</v>
      </c>
    </row>
    <row r="187" spans="6:6" x14ac:dyDescent="0.25">
      <c r="F187">
        <v>202</v>
      </c>
    </row>
    <row r="188" spans="6:6" x14ac:dyDescent="0.25">
      <c r="F188">
        <v>203</v>
      </c>
    </row>
    <row r="189" spans="6:6" x14ac:dyDescent="0.25">
      <c r="F189">
        <v>204</v>
      </c>
    </row>
    <row r="190" spans="6:6" x14ac:dyDescent="0.25">
      <c r="F190">
        <v>205</v>
      </c>
    </row>
    <row r="191" spans="6:6" x14ac:dyDescent="0.25">
      <c r="F191">
        <v>206</v>
      </c>
    </row>
    <row r="192" spans="6:6" x14ac:dyDescent="0.25">
      <c r="F192">
        <v>207</v>
      </c>
    </row>
    <row r="193" spans="6:6" x14ac:dyDescent="0.25">
      <c r="F193">
        <v>208</v>
      </c>
    </row>
    <row r="194" spans="6:6" x14ac:dyDescent="0.25">
      <c r="F194">
        <v>209</v>
      </c>
    </row>
    <row r="195" spans="6:6" x14ac:dyDescent="0.25">
      <c r="F195">
        <v>210</v>
      </c>
    </row>
    <row r="196" spans="6:6" x14ac:dyDescent="0.25">
      <c r="F196">
        <v>211</v>
      </c>
    </row>
    <row r="197" spans="6:6" x14ac:dyDescent="0.25">
      <c r="F197">
        <v>212</v>
      </c>
    </row>
    <row r="198" spans="6:6" x14ac:dyDescent="0.25">
      <c r="F198">
        <v>213</v>
      </c>
    </row>
    <row r="199" spans="6:6" x14ac:dyDescent="0.25">
      <c r="F199">
        <v>214</v>
      </c>
    </row>
    <row r="200" spans="6:6" x14ac:dyDescent="0.25">
      <c r="F200">
        <v>215</v>
      </c>
    </row>
    <row r="201" spans="6:6" x14ac:dyDescent="0.25">
      <c r="F201">
        <v>216</v>
      </c>
    </row>
    <row r="202" spans="6:6" x14ac:dyDescent="0.25">
      <c r="F202">
        <v>217</v>
      </c>
    </row>
    <row r="203" spans="6:6" x14ac:dyDescent="0.25">
      <c r="F203">
        <v>218</v>
      </c>
    </row>
    <row r="204" spans="6:6" x14ac:dyDescent="0.25">
      <c r="F204">
        <v>219</v>
      </c>
    </row>
    <row r="205" spans="6:6" x14ac:dyDescent="0.25">
      <c r="F205">
        <v>220</v>
      </c>
    </row>
    <row r="206" spans="6:6" x14ac:dyDescent="0.25">
      <c r="F206">
        <v>221</v>
      </c>
    </row>
    <row r="207" spans="6:6" x14ac:dyDescent="0.25">
      <c r="F207">
        <v>222</v>
      </c>
    </row>
    <row r="208" spans="6:6" x14ac:dyDescent="0.25">
      <c r="F208">
        <v>223</v>
      </c>
    </row>
    <row r="209" spans="6:6" x14ac:dyDescent="0.25">
      <c r="F209">
        <v>224</v>
      </c>
    </row>
    <row r="210" spans="6:6" x14ac:dyDescent="0.25">
      <c r="F210">
        <v>225</v>
      </c>
    </row>
    <row r="211" spans="6:6" x14ac:dyDescent="0.25">
      <c r="F211">
        <v>226</v>
      </c>
    </row>
    <row r="212" spans="6:6" x14ac:dyDescent="0.25">
      <c r="F212">
        <v>227</v>
      </c>
    </row>
    <row r="213" spans="6:6" x14ac:dyDescent="0.25">
      <c r="F213">
        <v>228</v>
      </c>
    </row>
    <row r="214" spans="6:6" x14ac:dyDescent="0.25">
      <c r="F214">
        <v>229</v>
      </c>
    </row>
    <row r="215" spans="6:6" x14ac:dyDescent="0.25">
      <c r="F215">
        <v>230</v>
      </c>
    </row>
    <row r="216" spans="6:6" x14ac:dyDescent="0.25">
      <c r="F216">
        <v>231</v>
      </c>
    </row>
    <row r="217" spans="6:6" x14ac:dyDescent="0.25">
      <c r="F217">
        <v>232</v>
      </c>
    </row>
    <row r="218" spans="6:6" x14ac:dyDescent="0.25">
      <c r="F218">
        <v>233</v>
      </c>
    </row>
    <row r="219" spans="6:6" x14ac:dyDescent="0.25">
      <c r="F219">
        <v>234</v>
      </c>
    </row>
    <row r="220" spans="6:6" x14ac:dyDescent="0.25">
      <c r="F220">
        <v>235</v>
      </c>
    </row>
    <row r="221" spans="6:6" x14ac:dyDescent="0.25">
      <c r="F221">
        <v>236</v>
      </c>
    </row>
    <row r="222" spans="6:6" x14ac:dyDescent="0.25">
      <c r="F222">
        <v>237</v>
      </c>
    </row>
    <row r="223" spans="6:6" x14ac:dyDescent="0.25">
      <c r="F223">
        <v>238</v>
      </c>
    </row>
    <row r="224" spans="6:6" x14ac:dyDescent="0.25">
      <c r="F224">
        <v>239</v>
      </c>
    </row>
    <row r="225" spans="6:6" x14ac:dyDescent="0.25">
      <c r="F225">
        <v>240</v>
      </c>
    </row>
  </sheetData>
  <mergeCells count="2">
    <mergeCell ref="F3:H3"/>
    <mergeCell ref="A23:E2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B04D3-DAD7-43D9-AC64-1CBBB37A1752}">
  <sheetPr codeName="Feuil15"/>
  <dimension ref="A2:H225"/>
  <sheetViews>
    <sheetView showRowColHeaders="0" workbookViewId="0">
      <selection activeCell="L12" sqref="L12"/>
    </sheetView>
  </sheetViews>
  <sheetFormatPr baseColWidth="10" defaultRowHeight="15" x14ac:dyDescent="0.25"/>
  <cols>
    <col min="2" max="2" width="19.140625" customWidth="1"/>
  </cols>
  <sheetData>
    <row r="2" spans="1:8" ht="15.75" thickBot="1" x14ac:dyDescent="0.3"/>
    <row r="3" spans="1:8" ht="16.5" thickBot="1" x14ac:dyDescent="0.3">
      <c r="A3" s="1" t="s">
        <v>0</v>
      </c>
      <c r="F3" s="199" t="s">
        <v>30</v>
      </c>
      <c r="G3" s="200"/>
      <c r="H3" s="201"/>
    </row>
    <row r="4" spans="1:8" ht="15.75" thickBot="1" x14ac:dyDescent="0.3">
      <c r="A4" s="2" t="s">
        <v>1</v>
      </c>
      <c r="B4" s="3">
        <v>671.96</v>
      </c>
      <c r="F4" s="22" t="s">
        <v>136</v>
      </c>
      <c r="G4" s="24" t="s">
        <v>137</v>
      </c>
      <c r="H4" s="23" t="s">
        <v>138</v>
      </c>
    </row>
    <row r="5" spans="1:8" x14ac:dyDescent="0.25">
      <c r="A5" s="4" t="s">
        <v>2</v>
      </c>
      <c r="B5" s="5">
        <v>999.38000000000011</v>
      </c>
    </row>
    <row r="6" spans="1:8" x14ac:dyDescent="0.25">
      <c r="A6" s="4" t="s">
        <v>3</v>
      </c>
      <c r="B6" s="5">
        <v>1392.0700000000002</v>
      </c>
    </row>
    <row r="7" spans="1:8" ht="15.75" thickBot="1" x14ac:dyDescent="0.3">
      <c r="A7" s="6" t="s">
        <v>14</v>
      </c>
      <c r="B7" s="7">
        <v>1859.66</v>
      </c>
      <c r="F7" t="s">
        <v>19</v>
      </c>
    </row>
    <row r="8" spans="1:8" ht="15.75" thickBot="1" x14ac:dyDescent="0.3">
      <c r="F8">
        <v>1</v>
      </c>
      <c r="G8">
        <v>30</v>
      </c>
      <c r="H8">
        <v>60</v>
      </c>
    </row>
    <row r="9" spans="1:8" ht="15.75" thickBot="1" x14ac:dyDescent="0.3">
      <c r="A9" s="15" t="s">
        <v>4</v>
      </c>
      <c r="B9" s="8" t="s">
        <v>5</v>
      </c>
      <c r="C9" s="9" t="s">
        <v>6</v>
      </c>
      <c r="F9">
        <v>2</v>
      </c>
      <c r="G9">
        <v>61</v>
      </c>
      <c r="H9">
        <v>120</v>
      </c>
    </row>
    <row r="10" spans="1:8" x14ac:dyDescent="0.25">
      <c r="A10" s="16" t="s">
        <v>7</v>
      </c>
      <c r="B10" s="17">
        <v>74.900000000000006</v>
      </c>
      <c r="C10" s="3">
        <v>181.9</v>
      </c>
      <c r="F10">
        <v>3</v>
      </c>
      <c r="G10">
        <v>121</v>
      </c>
      <c r="H10">
        <v>180</v>
      </c>
    </row>
    <row r="11" spans="1:8" x14ac:dyDescent="0.25">
      <c r="A11" s="18" t="s">
        <v>8</v>
      </c>
      <c r="B11" s="14">
        <v>116.63000000000001</v>
      </c>
      <c r="C11" s="5">
        <v>223.63000000000002</v>
      </c>
      <c r="F11">
        <v>4</v>
      </c>
      <c r="G11">
        <v>181</v>
      </c>
      <c r="H11">
        <v>240</v>
      </c>
    </row>
    <row r="12" spans="1:8" x14ac:dyDescent="0.25">
      <c r="A12" s="18" t="s">
        <v>9</v>
      </c>
      <c r="B12" s="14">
        <v>90.95</v>
      </c>
      <c r="C12" s="5">
        <v>208.65</v>
      </c>
    </row>
    <row r="13" spans="1:8" x14ac:dyDescent="0.25">
      <c r="A13" s="18" t="s">
        <v>10</v>
      </c>
      <c r="B13" s="14">
        <v>156.22</v>
      </c>
      <c r="C13" s="5">
        <v>273.92</v>
      </c>
    </row>
    <row r="14" spans="1:8" x14ac:dyDescent="0.25">
      <c r="A14" s="18" t="s">
        <v>11</v>
      </c>
      <c r="B14" s="14">
        <v>107</v>
      </c>
      <c r="C14" s="5">
        <v>235.4</v>
      </c>
    </row>
    <row r="15" spans="1:8" x14ac:dyDescent="0.25">
      <c r="A15" s="18" t="s">
        <v>15</v>
      </c>
      <c r="B15" s="14">
        <v>197.95000000000002</v>
      </c>
      <c r="C15" s="5">
        <v>326.35000000000002</v>
      </c>
      <c r="F15">
        <v>30</v>
      </c>
      <c r="G15">
        <v>40</v>
      </c>
      <c r="H15">
        <v>120</v>
      </c>
    </row>
    <row r="16" spans="1:8" x14ac:dyDescent="0.25">
      <c r="A16" s="18" t="s">
        <v>16</v>
      </c>
      <c r="B16" s="14">
        <v>123.05000000000001</v>
      </c>
      <c r="C16" s="5">
        <v>262.15000000000003</v>
      </c>
      <c r="F16">
        <v>31</v>
      </c>
      <c r="G16">
        <v>41</v>
      </c>
      <c r="H16">
        <v>121</v>
      </c>
    </row>
    <row r="17" spans="1:8" ht="15.75" thickBot="1" x14ac:dyDescent="0.3">
      <c r="A17" s="19" t="s">
        <v>17</v>
      </c>
      <c r="B17" s="20">
        <v>240.75</v>
      </c>
      <c r="C17" s="7">
        <v>379.85</v>
      </c>
      <c r="F17">
        <v>32</v>
      </c>
      <c r="G17">
        <v>42</v>
      </c>
      <c r="H17">
        <v>122</v>
      </c>
    </row>
    <row r="18" spans="1:8" ht="15.75" thickBot="1" x14ac:dyDescent="0.3">
      <c r="B18" s="10"/>
      <c r="C18" s="10"/>
      <c r="F18">
        <v>33</v>
      </c>
      <c r="G18">
        <v>43</v>
      </c>
      <c r="H18">
        <v>123</v>
      </c>
    </row>
    <row r="19" spans="1:8" ht="15.75" thickBot="1" x14ac:dyDescent="0.3">
      <c r="A19" s="11" t="s">
        <v>12</v>
      </c>
      <c r="B19" s="12">
        <v>34.24</v>
      </c>
      <c r="C19" s="13">
        <v>47.080000000000005</v>
      </c>
      <c r="F19">
        <v>34</v>
      </c>
      <c r="G19">
        <v>44</v>
      </c>
      <c r="H19">
        <v>124</v>
      </c>
    </row>
    <row r="20" spans="1:8" ht="15.75" thickBot="1" x14ac:dyDescent="0.3">
      <c r="B20" s="10"/>
      <c r="C20" s="10"/>
      <c r="F20">
        <v>35</v>
      </c>
      <c r="G20">
        <v>45</v>
      </c>
      <c r="H20">
        <v>125</v>
      </c>
    </row>
    <row r="21" spans="1:8" ht="15.75" thickBot="1" x14ac:dyDescent="0.3">
      <c r="A21" s="11" t="s">
        <v>13</v>
      </c>
      <c r="B21" s="12">
        <v>22.470000000000002</v>
      </c>
      <c r="C21" s="13">
        <v>32.1</v>
      </c>
      <c r="F21">
        <v>36</v>
      </c>
      <c r="G21">
        <v>46</v>
      </c>
      <c r="H21">
        <v>126</v>
      </c>
    </row>
    <row r="22" spans="1:8" x14ac:dyDescent="0.25">
      <c r="F22">
        <v>37</v>
      </c>
      <c r="G22">
        <v>47</v>
      </c>
      <c r="H22">
        <v>127</v>
      </c>
    </row>
    <row r="23" spans="1:8" x14ac:dyDescent="0.25">
      <c r="A23" s="198" t="s">
        <v>20</v>
      </c>
      <c r="B23" s="198"/>
      <c r="C23" s="198"/>
      <c r="D23" s="198"/>
      <c r="E23" s="198"/>
      <c r="F23">
        <v>38</v>
      </c>
      <c r="G23">
        <v>48</v>
      </c>
      <c r="H23">
        <v>128</v>
      </c>
    </row>
    <row r="24" spans="1:8" x14ac:dyDescent="0.25">
      <c r="F24">
        <v>39</v>
      </c>
      <c r="G24">
        <v>49</v>
      </c>
      <c r="H24">
        <v>129</v>
      </c>
    </row>
    <row r="25" spans="1:8" x14ac:dyDescent="0.25">
      <c r="A25" t="s">
        <v>21</v>
      </c>
      <c r="B25">
        <f>IF('Calcu Mad ND'!E6=1,'Données Mad NL'!B4,IF('Calcu Mad ND'!E6=2,'Données Mad NL'!B5,(IF('Calcu Mad ND'!E6=3,'Données Mad NL'!B6,(IF('Calcu Mad ND'!E6=4,'Données Mad NL'!B7,0))))))</f>
        <v>999.38000000000011</v>
      </c>
      <c r="F25">
        <v>40</v>
      </c>
      <c r="G25">
        <v>50</v>
      </c>
      <c r="H25">
        <v>130</v>
      </c>
    </row>
    <row r="26" spans="1:8" x14ac:dyDescent="0.25">
      <c r="A26" t="s">
        <v>22</v>
      </c>
      <c r="B26">
        <f>IF('Calcu Mad ND'!D6="oui",1.4,1)</f>
        <v>1</v>
      </c>
      <c r="F26">
        <v>41</v>
      </c>
      <c r="G26">
        <v>51</v>
      </c>
      <c r="H26">
        <v>131</v>
      </c>
    </row>
    <row r="27" spans="1:8" x14ac:dyDescent="0.25">
      <c r="A27" t="s">
        <v>23</v>
      </c>
      <c r="B27">
        <f>IF('Calcu Mad ND'!D9="non",1,IF(B26=1,1.4,1.1))</f>
        <v>1</v>
      </c>
      <c r="C27">
        <f>B26+B27</f>
        <v>2</v>
      </c>
      <c r="F27">
        <v>42</v>
      </c>
      <c r="G27">
        <v>52</v>
      </c>
      <c r="H27">
        <v>132</v>
      </c>
    </row>
    <row r="28" spans="1:8" x14ac:dyDescent="0.25">
      <c r="A28" t="s">
        <v>24</v>
      </c>
      <c r="B28">
        <f>IF('Calcu Mad ND'!D12="non",1,IF(C27=2,1.4,1.1))</f>
        <v>1</v>
      </c>
      <c r="F28">
        <v>43</v>
      </c>
      <c r="G28">
        <v>53</v>
      </c>
      <c r="H28">
        <v>133</v>
      </c>
    </row>
    <row r="29" spans="1:8" x14ac:dyDescent="0.25">
      <c r="A29" t="s">
        <v>25</v>
      </c>
      <c r="B29">
        <f>('Calcu Mad ND'!C6/100)*('Calcu Mad ND'!C9/100)*('Calcu Mad ND'!C12/100)</f>
        <v>0.97680000000000011</v>
      </c>
      <c r="F29">
        <v>44</v>
      </c>
      <c r="G29">
        <v>54</v>
      </c>
      <c r="H29">
        <v>134</v>
      </c>
    </row>
    <row r="30" spans="1:8" x14ac:dyDescent="0.25">
      <c r="A30" t="s">
        <v>26</v>
      </c>
      <c r="B30">
        <f>IF('Calcu Mad ND'!E6=1,0.52,IF('Calcu Mad ND'!E6=2,0.98,(IF('Calcu Mad ND'!E6=3,1.46,(IF('Calcu Mad ND'!E6=4,1.95,0))))))</f>
        <v>0.98</v>
      </c>
      <c r="F30">
        <v>45</v>
      </c>
      <c r="G30">
        <v>55</v>
      </c>
      <c r="H30">
        <v>135</v>
      </c>
    </row>
    <row r="31" spans="1:8" x14ac:dyDescent="0.25">
      <c r="A31" t="s">
        <v>27</v>
      </c>
      <c r="B31">
        <f>IF('Calcu Mad ND'!C15="non",0,(IF(AND('Calcu Mad ND'!C15=G4,'Calcu Mad ND'!E6=1,'Calcu Mad ND'!D6="non"),'Données Mad NL'!B10,(IF(AND('Calcu Mad ND'!C15=G4,'Calcu Mad ND'!E6=1,'Calcu Mad ND'!D6="oui"),'Données Mad NL'!C10,(IF(AND('Calcu Mad ND'!C15=H4,'Calcu Mad ND'!E6=1,'Calcu Mad ND'!D6="non"),'Données Mad NL'!B11,(IF(AND('Calcu Mad ND'!C15=H4,'Calcu Mad ND'!E6=1,'Calcu Mad ND'!D6="oui"),'Données Mad NL'!C11,(IF(AND('Calcu Mad ND'!C15=G4,'Calcu Mad ND'!E6=2,'Calcu Mad ND'!D6="non"),'Données Mad NL'!B12,(IF(AND('Calcu Mad ND'!C15=G4,'Calcu Mad ND'!E6=2,'Calcu Mad ND'!D6="oui"),'Données Mad NL'!C12,(IF(AND('Calcu Mad ND'!C15=H4,'Calcu Mad ND'!E6=2,'Calcu Mad ND'!D6="non"),'Données Mad NL'!B13,(IF(AND('Calcu Mad ND'!C15=H4,'Calcu Mad ND'!E6=2,'Calcu Mad ND'!D6="oui"),'Données Mad NL'!C13,(IF(AND('Calcu Mad ND'!C15=G4,'Calcu Mad ND'!E6=3,'Calcu Mad ND'!D6="non"),'Données Mad NL'!B14,(IF(AND('Calcu Mad ND'!C15=G4,'Calcu Mad ND'!E6=3,'Calcu Mad ND'!D6="oui"),'Données Mad NL'!C14,(IF(AND('Calcu Mad ND'!C15=H4,'Calcu Mad ND'!E6=3,'Calcu Mad ND'!D6="non"),'Données Mad NL'!B15,(IF(AND('Calcu Mad ND'!C15=H4,'Calcu Mad ND'!E6=3,'Calcu Mad ND'!D6="oui"),'Données Mad NL'!C15,(IF(AND('Calcu Mad ND'!C15=G4,'Calcu Mad ND'!E6=4,'Calcu Mad ND'!D6="non"),'Données Mad NL'!B16,(IF(AND('Calcu Mad ND'!C15=G4,'Calcu Mad ND'!E6=4,'Calcu Mad ND'!D6="oui"),'Données Mad NL'!C16,(IF(AND('Calcu Mad ND'!C15=H4,'Calcu Mad ND'!E6=4,'Calcu Mad ND'!D6="non"),'Données Mad NL'!B17,(IF(AND('Calcu Mad ND'!C15=H4,'Calcu Mad ND'!E6=4,'Calcu Mad ND'!D6="oui"),'Données Mad NL'!C17,10000)))))))))))))))))))))))))))))))))</f>
        <v>0</v>
      </c>
      <c r="F31">
        <v>46</v>
      </c>
      <c r="G31">
        <v>56</v>
      </c>
      <c r="H31">
        <v>136</v>
      </c>
    </row>
    <row r="32" spans="1:8" x14ac:dyDescent="0.25">
      <c r="A32" t="s">
        <v>28</v>
      </c>
      <c r="B32">
        <f>IF(AND(B26=1,B27=1),B19*'Calcu Mad ND'!C17,C19*'Calcu Mad ND'!C17)</f>
        <v>205.44</v>
      </c>
      <c r="F32">
        <v>47</v>
      </c>
      <c r="G32">
        <v>57</v>
      </c>
      <c r="H32">
        <v>137</v>
      </c>
    </row>
    <row r="33" spans="1:8" x14ac:dyDescent="0.25">
      <c r="A33" t="s">
        <v>29</v>
      </c>
      <c r="B33">
        <f>IF(B26=1,B21*'Calcu Mad ND'!C19,'Calcu Mad ND'!C19*C21)</f>
        <v>22.470000000000002</v>
      </c>
      <c r="F33">
        <v>48</v>
      </c>
      <c r="G33">
        <v>58</v>
      </c>
      <c r="H33">
        <v>138</v>
      </c>
    </row>
    <row r="34" spans="1:8" x14ac:dyDescent="0.25">
      <c r="F34">
        <v>49</v>
      </c>
      <c r="G34">
        <v>59</v>
      </c>
      <c r="H34">
        <v>139</v>
      </c>
    </row>
    <row r="35" spans="1:8" x14ac:dyDescent="0.25">
      <c r="F35" s="21">
        <v>50</v>
      </c>
      <c r="G35">
        <v>60</v>
      </c>
      <c r="H35">
        <v>140</v>
      </c>
    </row>
    <row r="36" spans="1:8" x14ac:dyDescent="0.25">
      <c r="F36">
        <v>51</v>
      </c>
      <c r="H36">
        <v>141</v>
      </c>
    </row>
    <row r="37" spans="1:8" x14ac:dyDescent="0.25">
      <c r="F37">
        <v>52</v>
      </c>
      <c r="H37">
        <v>142</v>
      </c>
    </row>
    <row r="38" spans="1:8" x14ac:dyDescent="0.25">
      <c r="F38">
        <v>53</v>
      </c>
      <c r="H38">
        <v>143</v>
      </c>
    </row>
    <row r="39" spans="1:8" x14ac:dyDescent="0.25">
      <c r="F39">
        <v>54</v>
      </c>
      <c r="H39">
        <v>144</v>
      </c>
    </row>
    <row r="40" spans="1:8" x14ac:dyDescent="0.25">
      <c r="F40">
        <v>55</v>
      </c>
      <c r="H40">
        <v>145</v>
      </c>
    </row>
    <row r="41" spans="1:8" x14ac:dyDescent="0.25">
      <c r="F41">
        <v>56</v>
      </c>
      <c r="H41">
        <v>146</v>
      </c>
    </row>
    <row r="42" spans="1:8" x14ac:dyDescent="0.25">
      <c r="F42">
        <v>57</v>
      </c>
      <c r="H42">
        <v>147</v>
      </c>
    </row>
    <row r="43" spans="1:8" x14ac:dyDescent="0.25">
      <c r="F43">
        <v>58</v>
      </c>
      <c r="H43">
        <v>148</v>
      </c>
    </row>
    <row r="44" spans="1:8" x14ac:dyDescent="0.25">
      <c r="F44">
        <v>59</v>
      </c>
      <c r="H44">
        <v>149</v>
      </c>
    </row>
    <row r="45" spans="1:8" x14ac:dyDescent="0.25">
      <c r="F45">
        <v>60</v>
      </c>
      <c r="H45">
        <v>150</v>
      </c>
    </row>
    <row r="46" spans="1:8" x14ac:dyDescent="0.25">
      <c r="F46">
        <v>61</v>
      </c>
      <c r="H46">
        <v>151</v>
      </c>
    </row>
    <row r="47" spans="1:8" x14ac:dyDescent="0.25">
      <c r="F47">
        <v>62</v>
      </c>
      <c r="H47">
        <v>152</v>
      </c>
    </row>
    <row r="48" spans="1:8" x14ac:dyDescent="0.25">
      <c r="F48">
        <v>63</v>
      </c>
      <c r="H48">
        <v>153</v>
      </c>
    </row>
    <row r="49" spans="6:8" x14ac:dyDescent="0.25">
      <c r="F49">
        <v>64</v>
      </c>
      <c r="H49">
        <v>154</v>
      </c>
    </row>
    <row r="50" spans="6:8" x14ac:dyDescent="0.25">
      <c r="F50">
        <v>65</v>
      </c>
      <c r="H50">
        <v>155</v>
      </c>
    </row>
    <row r="51" spans="6:8" x14ac:dyDescent="0.25">
      <c r="F51">
        <v>66</v>
      </c>
      <c r="H51">
        <v>156</v>
      </c>
    </row>
    <row r="52" spans="6:8" x14ac:dyDescent="0.25">
      <c r="F52">
        <v>67</v>
      </c>
      <c r="H52">
        <v>157</v>
      </c>
    </row>
    <row r="53" spans="6:8" x14ac:dyDescent="0.25">
      <c r="F53">
        <v>68</v>
      </c>
      <c r="H53">
        <v>158</v>
      </c>
    </row>
    <row r="54" spans="6:8" x14ac:dyDescent="0.25">
      <c r="F54">
        <v>69</v>
      </c>
      <c r="H54">
        <v>159</v>
      </c>
    </row>
    <row r="55" spans="6:8" x14ac:dyDescent="0.25">
      <c r="F55">
        <v>70</v>
      </c>
      <c r="H55">
        <v>160</v>
      </c>
    </row>
    <row r="56" spans="6:8" x14ac:dyDescent="0.25">
      <c r="F56">
        <v>71</v>
      </c>
      <c r="H56">
        <v>161</v>
      </c>
    </row>
    <row r="57" spans="6:8" x14ac:dyDescent="0.25">
      <c r="F57">
        <v>72</v>
      </c>
      <c r="H57">
        <v>162</v>
      </c>
    </row>
    <row r="58" spans="6:8" x14ac:dyDescent="0.25">
      <c r="F58">
        <v>73</v>
      </c>
      <c r="H58">
        <v>163</v>
      </c>
    </row>
    <row r="59" spans="6:8" x14ac:dyDescent="0.25">
      <c r="F59">
        <v>74</v>
      </c>
      <c r="H59">
        <v>164</v>
      </c>
    </row>
    <row r="60" spans="6:8" x14ac:dyDescent="0.25">
      <c r="F60">
        <v>75</v>
      </c>
      <c r="H60">
        <v>165</v>
      </c>
    </row>
    <row r="61" spans="6:8" x14ac:dyDescent="0.25">
      <c r="F61">
        <v>76</v>
      </c>
      <c r="H61">
        <v>166</v>
      </c>
    </row>
    <row r="62" spans="6:8" x14ac:dyDescent="0.25">
      <c r="F62">
        <v>77</v>
      </c>
      <c r="H62">
        <v>167</v>
      </c>
    </row>
    <row r="63" spans="6:8" x14ac:dyDescent="0.25">
      <c r="F63">
        <v>78</v>
      </c>
      <c r="H63">
        <v>168</v>
      </c>
    </row>
    <row r="64" spans="6:8" x14ac:dyDescent="0.25">
      <c r="F64">
        <v>79</v>
      </c>
      <c r="H64">
        <v>169</v>
      </c>
    </row>
    <row r="65" spans="6:8" x14ac:dyDescent="0.25">
      <c r="F65">
        <v>80</v>
      </c>
      <c r="H65">
        <v>170</v>
      </c>
    </row>
    <row r="66" spans="6:8" x14ac:dyDescent="0.25">
      <c r="F66">
        <v>81</v>
      </c>
      <c r="H66">
        <v>171</v>
      </c>
    </row>
    <row r="67" spans="6:8" x14ac:dyDescent="0.25">
      <c r="F67">
        <v>82</v>
      </c>
      <c r="H67">
        <v>172</v>
      </c>
    </row>
    <row r="68" spans="6:8" x14ac:dyDescent="0.25">
      <c r="F68">
        <v>83</v>
      </c>
      <c r="H68">
        <v>173</v>
      </c>
    </row>
    <row r="69" spans="6:8" x14ac:dyDescent="0.25">
      <c r="F69">
        <v>84</v>
      </c>
      <c r="H69">
        <v>174</v>
      </c>
    </row>
    <row r="70" spans="6:8" x14ac:dyDescent="0.25">
      <c r="F70">
        <v>85</v>
      </c>
      <c r="H70">
        <v>175</v>
      </c>
    </row>
    <row r="71" spans="6:8" x14ac:dyDescent="0.25">
      <c r="F71">
        <v>86</v>
      </c>
      <c r="H71">
        <v>176</v>
      </c>
    </row>
    <row r="72" spans="6:8" x14ac:dyDescent="0.25">
      <c r="F72">
        <v>87</v>
      </c>
      <c r="H72">
        <v>177</v>
      </c>
    </row>
    <row r="73" spans="6:8" x14ac:dyDescent="0.25">
      <c r="F73">
        <v>88</v>
      </c>
      <c r="H73">
        <v>178</v>
      </c>
    </row>
    <row r="74" spans="6:8" x14ac:dyDescent="0.25">
      <c r="F74">
        <v>89</v>
      </c>
      <c r="H74">
        <v>179</v>
      </c>
    </row>
    <row r="75" spans="6:8" x14ac:dyDescent="0.25">
      <c r="F75">
        <v>90</v>
      </c>
      <c r="H75">
        <v>180</v>
      </c>
    </row>
    <row r="76" spans="6:8" x14ac:dyDescent="0.25">
      <c r="F76">
        <v>91</v>
      </c>
      <c r="H76">
        <v>181</v>
      </c>
    </row>
    <row r="77" spans="6:8" x14ac:dyDescent="0.25">
      <c r="F77">
        <v>92</v>
      </c>
      <c r="H77">
        <v>182</v>
      </c>
    </row>
    <row r="78" spans="6:8" x14ac:dyDescent="0.25">
      <c r="F78">
        <v>93</v>
      </c>
      <c r="H78">
        <v>183</v>
      </c>
    </row>
    <row r="79" spans="6:8" x14ac:dyDescent="0.25">
      <c r="F79">
        <v>94</v>
      </c>
      <c r="H79">
        <v>184</v>
      </c>
    </row>
    <row r="80" spans="6:8" x14ac:dyDescent="0.25">
      <c r="F80">
        <v>95</v>
      </c>
      <c r="H80">
        <v>185</v>
      </c>
    </row>
    <row r="81" spans="6:8" x14ac:dyDescent="0.25">
      <c r="F81" s="21">
        <v>96</v>
      </c>
      <c r="H81">
        <v>186</v>
      </c>
    </row>
    <row r="82" spans="6:8" x14ac:dyDescent="0.25">
      <c r="F82">
        <v>97</v>
      </c>
      <c r="H82">
        <v>187</v>
      </c>
    </row>
    <row r="83" spans="6:8" x14ac:dyDescent="0.25">
      <c r="F83">
        <v>98</v>
      </c>
      <c r="H83">
        <v>188</v>
      </c>
    </row>
    <row r="84" spans="6:8" x14ac:dyDescent="0.25">
      <c r="F84">
        <v>99</v>
      </c>
      <c r="H84">
        <v>189</v>
      </c>
    </row>
    <row r="85" spans="6:8" x14ac:dyDescent="0.25">
      <c r="F85">
        <v>100</v>
      </c>
      <c r="H85">
        <v>190</v>
      </c>
    </row>
    <row r="86" spans="6:8" x14ac:dyDescent="0.25">
      <c r="F86">
        <v>101</v>
      </c>
      <c r="H86">
        <v>191</v>
      </c>
    </row>
    <row r="87" spans="6:8" x14ac:dyDescent="0.25">
      <c r="F87">
        <v>102</v>
      </c>
      <c r="H87">
        <v>192</v>
      </c>
    </row>
    <row r="88" spans="6:8" x14ac:dyDescent="0.25">
      <c r="F88">
        <v>103</v>
      </c>
      <c r="H88">
        <v>193</v>
      </c>
    </row>
    <row r="89" spans="6:8" x14ac:dyDescent="0.25">
      <c r="F89">
        <v>104</v>
      </c>
      <c r="H89">
        <v>194</v>
      </c>
    </row>
    <row r="90" spans="6:8" x14ac:dyDescent="0.25">
      <c r="F90">
        <v>105</v>
      </c>
      <c r="H90">
        <v>195</v>
      </c>
    </row>
    <row r="91" spans="6:8" x14ac:dyDescent="0.25">
      <c r="F91">
        <v>106</v>
      </c>
      <c r="H91">
        <v>196</v>
      </c>
    </row>
    <row r="92" spans="6:8" x14ac:dyDescent="0.25">
      <c r="F92">
        <v>107</v>
      </c>
      <c r="H92">
        <v>197</v>
      </c>
    </row>
    <row r="93" spans="6:8" x14ac:dyDescent="0.25">
      <c r="F93">
        <v>108</v>
      </c>
      <c r="H93">
        <v>198</v>
      </c>
    </row>
    <row r="94" spans="6:8" x14ac:dyDescent="0.25">
      <c r="F94">
        <v>109</v>
      </c>
      <c r="H94">
        <v>199</v>
      </c>
    </row>
    <row r="95" spans="6:8" x14ac:dyDescent="0.25">
      <c r="F95">
        <v>110</v>
      </c>
      <c r="H95">
        <v>200</v>
      </c>
    </row>
    <row r="96" spans="6:8" x14ac:dyDescent="0.25">
      <c r="F96">
        <v>111</v>
      </c>
      <c r="H96">
        <v>201</v>
      </c>
    </row>
    <row r="97" spans="6:8" x14ac:dyDescent="0.25">
      <c r="F97">
        <v>112</v>
      </c>
      <c r="H97">
        <v>202</v>
      </c>
    </row>
    <row r="98" spans="6:8" x14ac:dyDescent="0.25">
      <c r="F98">
        <v>113</v>
      </c>
      <c r="H98">
        <v>203</v>
      </c>
    </row>
    <row r="99" spans="6:8" x14ac:dyDescent="0.25">
      <c r="F99">
        <v>114</v>
      </c>
      <c r="H99">
        <v>204</v>
      </c>
    </row>
    <row r="100" spans="6:8" x14ac:dyDescent="0.25">
      <c r="F100">
        <v>115</v>
      </c>
      <c r="H100">
        <v>205</v>
      </c>
    </row>
    <row r="101" spans="6:8" x14ac:dyDescent="0.25">
      <c r="F101">
        <v>116</v>
      </c>
      <c r="H101">
        <v>206</v>
      </c>
    </row>
    <row r="102" spans="6:8" x14ac:dyDescent="0.25">
      <c r="F102">
        <v>117</v>
      </c>
      <c r="H102">
        <v>207</v>
      </c>
    </row>
    <row r="103" spans="6:8" x14ac:dyDescent="0.25">
      <c r="F103">
        <v>118</v>
      </c>
      <c r="H103">
        <v>208</v>
      </c>
    </row>
    <row r="104" spans="6:8" x14ac:dyDescent="0.25">
      <c r="F104">
        <v>119</v>
      </c>
      <c r="H104">
        <v>209</v>
      </c>
    </row>
    <row r="105" spans="6:8" x14ac:dyDescent="0.25">
      <c r="F105">
        <v>120</v>
      </c>
      <c r="H105">
        <v>210</v>
      </c>
    </row>
    <row r="106" spans="6:8" x14ac:dyDescent="0.25">
      <c r="F106">
        <v>121</v>
      </c>
      <c r="H106">
        <v>211</v>
      </c>
    </row>
    <row r="107" spans="6:8" x14ac:dyDescent="0.25">
      <c r="F107">
        <v>122</v>
      </c>
      <c r="H107">
        <v>212</v>
      </c>
    </row>
    <row r="108" spans="6:8" x14ac:dyDescent="0.25">
      <c r="F108">
        <v>123</v>
      </c>
      <c r="H108">
        <v>213</v>
      </c>
    </row>
    <row r="109" spans="6:8" x14ac:dyDescent="0.25">
      <c r="F109">
        <v>124</v>
      </c>
      <c r="H109">
        <v>214</v>
      </c>
    </row>
    <row r="110" spans="6:8" x14ac:dyDescent="0.25">
      <c r="F110">
        <v>125</v>
      </c>
      <c r="H110">
        <v>215</v>
      </c>
    </row>
    <row r="111" spans="6:8" x14ac:dyDescent="0.25">
      <c r="F111">
        <v>126</v>
      </c>
      <c r="H111">
        <v>216</v>
      </c>
    </row>
    <row r="112" spans="6:8" x14ac:dyDescent="0.25">
      <c r="F112">
        <v>127</v>
      </c>
      <c r="H112">
        <v>217</v>
      </c>
    </row>
    <row r="113" spans="6:8" x14ac:dyDescent="0.25">
      <c r="F113">
        <v>128</v>
      </c>
      <c r="H113">
        <v>218</v>
      </c>
    </row>
    <row r="114" spans="6:8" x14ac:dyDescent="0.25">
      <c r="F114">
        <v>129</v>
      </c>
      <c r="H114">
        <v>219</v>
      </c>
    </row>
    <row r="115" spans="6:8" x14ac:dyDescent="0.25">
      <c r="F115">
        <v>130</v>
      </c>
      <c r="H115">
        <v>220</v>
      </c>
    </row>
    <row r="116" spans="6:8" x14ac:dyDescent="0.25">
      <c r="F116">
        <v>131</v>
      </c>
      <c r="H116">
        <v>221</v>
      </c>
    </row>
    <row r="117" spans="6:8" x14ac:dyDescent="0.25">
      <c r="F117">
        <v>132</v>
      </c>
      <c r="H117">
        <v>222</v>
      </c>
    </row>
    <row r="118" spans="6:8" x14ac:dyDescent="0.25">
      <c r="F118">
        <v>133</v>
      </c>
      <c r="H118">
        <v>223</v>
      </c>
    </row>
    <row r="119" spans="6:8" x14ac:dyDescent="0.25">
      <c r="F119">
        <v>134</v>
      </c>
      <c r="H119">
        <v>224</v>
      </c>
    </row>
    <row r="120" spans="6:8" x14ac:dyDescent="0.25">
      <c r="F120">
        <v>135</v>
      </c>
      <c r="H120">
        <v>225</v>
      </c>
    </row>
    <row r="121" spans="6:8" x14ac:dyDescent="0.25">
      <c r="F121">
        <v>136</v>
      </c>
      <c r="H121">
        <v>226</v>
      </c>
    </row>
    <row r="122" spans="6:8" x14ac:dyDescent="0.25">
      <c r="F122">
        <v>137</v>
      </c>
      <c r="H122">
        <v>227</v>
      </c>
    </row>
    <row r="123" spans="6:8" x14ac:dyDescent="0.25">
      <c r="F123">
        <v>138</v>
      </c>
      <c r="H123">
        <v>228</v>
      </c>
    </row>
    <row r="124" spans="6:8" x14ac:dyDescent="0.25">
      <c r="F124">
        <v>139</v>
      </c>
      <c r="H124">
        <v>229</v>
      </c>
    </row>
    <row r="125" spans="6:8" x14ac:dyDescent="0.25">
      <c r="F125">
        <v>140</v>
      </c>
      <c r="H125">
        <v>230</v>
      </c>
    </row>
    <row r="126" spans="6:8" x14ac:dyDescent="0.25">
      <c r="F126">
        <v>141</v>
      </c>
      <c r="H126">
        <v>231</v>
      </c>
    </row>
    <row r="127" spans="6:8" x14ac:dyDescent="0.25">
      <c r="F127">
        <v>142</v>
      </c>
      <c r="H127">
        <v>232</v>
      </c>
    </row>
    <row r="128" spans="6:8" x14ac:dyDescent="0.25">
      <c r="F128" s="21">
        <v>143</v>
      </c>
      <c r="H128">
        <v>233</v>
      </c>
    </row>
    <row r="129" spans="6:8" x14ac:dyDescent="0.25">
      <c r="F129">
        <v>144</v>
      </c>
      <c r="H129">
        <v>234</v>
      </c>
    </row>
    <row r="130" spans="6:8" x14ac:dyDescent="0.25">
      <c r="F130">
        <v>145</v>
      </c>
      <c r="H130">
        <v>235</v>
      </c>
    </row>
    <row r="131" spans="6:8" x14ac:dyDescent="0.25">
      <c r="F131">
        <v>146</v>
      </c>
      <c r="H131">
        <v>236</v>
      </c>
    </row>
    <row r="132" spans="6:8" x14ac:dyDescent="0.25">
      <c r="F132">
        <v>147</v>
      </c>
      <c r="H132">
        <v>237</v>
      </c>
    </row>
    <row r="133" spans="6:8" x14ac:dyDescent="0.25">
      <c r="F133">
        <v>148</v>
      </c>
      <c r="H133">
        <v>238</v>
      </c>
    </row>
    <row r="134" spans="6:8" x14ac:dyDescent="0.25">
      <c r="F134">
        <v>149</v>
      </c>
      <c r="H134">
        <v>239</v>
      </c>
    </row>
    <row r="135" spans="6:8" x14ac:dyDescent="0.25">
      <c r="F135">
        <v>150</v>
      </c>
      <c r="H135">
        <v>240</v>
      </c>
    </row>
    <row r="136" spans="6:8" x14ac:dyDescent="0.25">
      <c r="F136">
        <v>151</v>
      </c>
    </row>
    <row r="137" spans="6:8" x14ac:dyDescent="0.25">
      <c r="F137">
        <v>152</v>
      </c>
    </row>
    <row r="138" spans="6:8" x14ac:dyDescent="0.25">
      <c r="F138">
        <v>153</v>
      </c>
    </row>
    <row r="139" spans="6:8" x14ac:dyDescent="0.25">
      <c r="F139">
        <v>154</v>
      </c>
    </row>
    <row r="140" spans="6:8" x14ac:dyDescent="0.25">
      <c r="F140">
        <v>155</v>
      </c>
    </row>
    <row r="141" spans="6:8" x14ac:dyDescent="0.25">
      <c r="F141">
        <v>156</v>
      </c>
    </row>
    <row r="142" spans="6:8" x14ac:dyDescent="0.25">
      <c r="F142">
        <v>157</v>
      </c>
    </row>
    <row r="143" spans="6:8" x14ac:dyDescent="0.25">
      <c r="F143">
        <v>158</v>
      </c>
    </row>
    <row r="144" spans="6:8" x14ac:dyDescent="0.25">
      <c r="F144">
        <v>159</v>
      </c>
    </row>
    <row r="145" spans="6:6" x14ac:dyDescent="0.25">
      <c r="F145">
        <v>160</v>
      </c>
    </row>
    <row r="146" spans="6:6" x14ac:dyDescent="0.25">
      <c r="F146">
        <v>161</v>
      </c>
    </row>
    <row r="147" spans="6:6" x14ac:dyDescent="0.25">
      <c r="F147">
        <v>162</v>
      </c>
    </row>
    <row r="148" spans="6:6" x14ac:dyDescent="0.25">
      <c r="F148">
        <v>163</v>
      </c>
    </row>
    <row r="149" spans="6:6" x14ac:dyDescent="0.25">
      <c r="F149">
        <v>164</v>
      </c>
    </row>
    <row r="150" spans="6:6" x14ac:dyDescent="0.25">
      <c r="F150">
        <v>165</v>
      </c>
    </row>
    <row r="151" spans="6:6" x14ac:dyDescent="0.25">
      <c r="F151">
        <v>166</v>
      </c>
    </row>
    <row r="152" spans="6:6" x14ac:dyDescent="0.25">
      <c r="F152">
        <v>167</v>
      </c>
    </row>
    <row r="153" spans="6:6" x14ac:dyDescent="0.25">
      <c r="F153">
        <v>168</v>
      </c>
    </row>
    <row r="154" spans="6:6" x14ac:dyDescent="0.25">
      <c r="F154">
        <v>169</v>
      </c>
    </row>
    <row r="155" spans="6:6" x14ac:dyDescent="0.25">
      <c r="F155">
        <v>170</v>
      </c>
    </row>
    <row r="156" spans="6:6" x14ac:dyDescent="0.25">
      <c r="F156">
        <v>171</v>
      </c>
    </row>
    <row r="157" spans="6:6" x14ac:dyDescent="0.25">
      <c r="F157">
        <v>172</v>
      </c>
    </row>
    <row r="158" spans="6:6" x14ac:dyDescent="0.25">
      <c r="F158">
        <v>173</v>
      </c>
    </row>
    <row r="159" spans="6:6" x14ac:dyDescent="0.25">
      <c r="F159">
        <v>174</v>
      </c>
    </row>
    <row r="160" spans="6:6" x14ac:dyDescent="0.25">
      <c r="F160">
        <v>175</v>
      </c>
    </row>
    <row r="161" spans="6:6" x14ac:dyDescent="0.25">
      <c r="F161">
        <v>176</v>
      </c>
    </row>
    <row r="162" spans="6:6" x14ac:dyDescent="0.25">
      <c r="F162">
        <v>177</v>
      </c>
    </row>
    <row r="163" spans="6:6" x14ac:dyDescent="0.25">
      <c r="F163">
        <v>178</v>
      </c>
    </row>
    <row r="164" spans="6:6" x14ac:dyDescent="0.25">
      <c r="F164">
        <v>179</v>
      </c>
    </row>
    <row r="165" spans="6:6" x14ac:dyDescent="0.25">
      <c r="F165">
        <v>180</v>
      </c>
    </row>
    <row r="166" spans="6:6" x14ac:dyDescent="0.25">
      <c r="F166">
        <v>181</v>
      </c>
    </row>
    <row r="167" spans="6:6" x14ac:dyDescent="0.25">
      <c r="F167">
        <v>182</v>
      </c>
    </row>
    <row r="168" spans="6:6" x14ac:dyDescent="0.25">
      <c r="F168">
        <v>183</v>
      </c>
    </row>
    <row r="169" spans="6:6" x14ac:dyDescent="0.25">
      <c r="F169">
        <v>184</v>
      </c>
    </row>
    <row r="170" spans="6:6" x14ac:dyDescent="0.25">
      <c r="F170">
        <v>185</v>
      </c>
    </row>
    <row r="171" spans="6:6" x14ac:dyDescent="0.25">
      <c r="F171">
        <v>186</v>
      </c>
    </row>
    <row r="172" spans="6:6" x14ac:dyDescent="0.25">
      <c r="F172">
        <v>187</v>
      </c>
    </row>
    <row r="173" spans="6:6" x14ac:dyDescent="0.25">
      <c r="F173">
        <v>188</v>
      </c>
    </row>
    <row r="174" spans="6:6" x14ac:dyDescent="0.25">
      <c r="F174">
        <v>189</v>
      </c>
    </row>
    <row r="175" spans="6:6" x14ac:dyDescent="0.25">
      <c r="F175">
        <v>190</v>
      </c>
    </row>
    <row r="176" spans="6:6" x14ac:dyDescent="0.25">
      <c r="F176">
        <v>191</v>
      </c>
    </row>
    <row r="177" spans="6:6" x14ac:dyDescent="0.25">
      <c r="F177">
        <v>192</v>
      </c>
    </row>
    <row r="178" spans="6:6" x14ac:dyDescent="0.25">
      <c r="F178">
        <v>193</v>
      </c>
    </row>
    <row r="179" spans="6:6" x14ac:dyDescent="0.25">
      <c r="F179">
        <v>194</v>
      </c>
    </row>
    <row r="180" spans="6:6" x14ac:dyDescent="0.25">
      <c r="F180">
        <v>195</v>
      </c>
    </row>
    <row r="181" spans="6:6" x14ac:dyDescent="0.25">
      <c r="F181">
        <v>196</v>
      </c>
    </row>
    <row r="182" spans="6:6" x14ac:dyDescent="0.25">
      <c r="F182">
        <v>197</v>
      </c>
    </row>
    <row r="183" spans="6:6" x14ac:dyDescent="0.25">
      <c r="F183">
        <v>198</v>
      </c>
    </row>
    <row r="184" spans="6:6" x14ac:dyDescent="0.25">
      <c r="F184">
        <v>199</v>
      </c>
    </row>
    <row r="185" spans="6:6" x14ac:dyDescent="0.25">
      <c r="F185">
        <v>200</v>
      </c>
    </row>
    <row r="186" spans="6:6" x14ac:dyDescent="0.25">
      <c r="F186">
        <v>201</v>
      </c>
    </row>
    <row r="187" spans="6:6" x14ac:dyDescent="0.25">
      <c r="F187">
        <v>202</v>
      </c>
    </row>
    <row r="188" spans="6:6" x14ac:dyDescent="0.25">
      <c r="F188">
        <v>203</v>
      </c>
    </row>
    <row r="189" spans="6:6" x14ac:dyDescent="0.25">
      <c r="F189">
        <v>204</v>
      </c>
    </row>
    <row r="190" spans="6:6" x14ac:dyDescent="0.25">
      <c r="F190">
        <v>205</v>
      </c>
    </row>
    <row r="191" spans="6:6" x14ac:dyDescent="0.25">
      <c r="F191">
        <v>206</v>
      </c>
    </row>
    <row r="192" spans="6:6" x14ac:dyDescent="0.25">
      <c r="F192">
        <v>207</v>
      </c>
    </row>
    <row r="193" spans="6:6" x14ac:dyDescent="0.25">
      <c r="F193">
        <v>208</v>
      </c>
    </row>
    <row r="194" spans="6:6" x14ac:dyDescent="0.25">
      <c r="F194">
        <v>209</v>
      </c>
    </row>
    <row r="195" spans="6:6" x14ac:dyDescent="0.25">
      <c r="F195">
        <v>210</v>
      </c>
    </row>
    <row r="196" spans="6:6" x14ac:dyDescent="0.25">
      <c r="F196">
        <v>211</v>
      </c>
    </row>
    <row r="197" spans="6:6" x14ac:dyDescent="0.25">
      <c r="F197">
        <v>212</v>
      </c>
    </row>
    <row r="198" spans="6:6" x14ac:dyDescent="0.25">
      <c r="F198">
        <v>213</v>
      </c>
    </row>
    <row r="199" spans="6:6" x14ac:dyDescent="0.25">
      <c r="F199">
        <v>214</v>
      </c>
    </row>
    <row r="200" spans="6:6" x14ac:dyDescent="0.25">
      <c r="F200">
        <v>215</v>
      </c>
    </row>
    <row r="201" spans="6:6" x14ac:dyDescent="0.25">
      <c r="F201">
        <v>216</v>
      </c>
    </row>
    <row r="202" spans="6:6" x14ac:dyDescent="0.25">
      <c r="F202">
        <v>217</v>
      </c>
    </row>
    <row r="203" spans="6:6" x14ac:dyDescent="0.25">
      <c r="F203">
        <v>218</v>
      </c>
    </row>
    <row r="204" spans="6:6" x14ac:dyDescent="0.25">
      <c r="F204">
        <v>219</v>
      </c>
    </row>
    <row r="205" spans="6:6" x14ac:dyDescent="0.25">
      <c r="F205">
        <v>220</v>
      </c>
    </row>
    <row r="206" spans="6:6" x14ac:dyDescent="0.25">
      <c r="F206">
        <v>221</v>
      </c>
    </row>
    <row r="207" spans="6:6" x14ac:dyDescent="0.25">
      <c r="F207">
        <v>222</v>
      </c>
    </row>
    <row r="208" spans="6:6" x14ac:dyDescent="0.25">
      <c r="F208">
        <v>223</v>
      </c>
    </row>
    <row r="209" spans="6:6" x14ac:dyDescent="0.25">
      <c r="F209">
        <v>224</v>
      </c>
    </row>
    <row r="210" spans="6:6" x14ac:dyDescent="0.25">
      <c r="F210">
        <v>225</v>
      </c>
    </row>
    <row r="211" spans="6:6" x14ac:dyDescent="0.25">
      <c r="F211">
        <v>226</v>
      </c>
    </row>
    <row r="212" spans="6:6" x14ac:dyDescent="0.25">
      <c r="F212">
        <v>227</v>
      </c>
    </row>
    <row r="213" spans="6:6" x14ac:dyDescent="0.25">
      <c r="F213">
        <v>228</v>
      </c>
    </row>
    <row r="214" spans="6:6" x14ac:dyDescent="0.25">
      <c r="F214">
        <v>229</v>
      </c>
    </row>
    <row r="215" spans="6:6" x14ac:dyDescent="0.25">
      <c r="F215">
        <v>230</v>
      </c>
    </row>
    <row r="216" spans="6:6" x14ac:dyDescent="0.25">
      <c r="F216">
        <v>231</v>
      </c>
    </row>
    <row r="217" spans="6:6" x14ac:dyDescent="0.25">
      <c r="F217">
        <v>232</v>
      </c>
    </row>
    <row r="218" spans="6:6" x14ac:dyDescent="0.25">
      <c r="F218">
        <v>233</v>
      </c>
    </row>
    <row r="219" spans="6:6" x14ac:dyDescent="0.25">
      <c r="F219">
        <v>234</v>
      </c>
    </row>
    <row r="220" spans="6:6" x14ac:dyDescent="0.25">
      <c r="F220">
        <v>235</v>
      </c>
    </row>
    <row r="221" spans="6:6" x14ac:dyDescent="0.25">
      <c r="F221">
        <v>236</v>
      </c>
    </row>
    <row r="222" spans="6:6" x14ac:dyDescent="0.25">
      <c r="F222">
        <v>237</v>
      </c>
    </row>
    <row r="223" spans="6:6" x14ac:dyDescent="0.25">
      <c r="F223">
        <v>238</v>
      </c>
    </row>
    <row r="224" spans="6:6" x14ac:dyDescent="0.25">
      <c r="F224">
        <v>239</v>
      </c>
    </row>
    <row r="225" spans="6:6" x14ac:dyDescent="0.25">
      <c r="F225">
        <v>240</v>
      </c>
    </row>
  </sheetData>
  <mergeCells count="2">
    <mergeCell ref="F3:H3"/>
    <mergeCell ref="A23:E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E674-04DC-479E-9C2B-495DDE507FB5}">
  <sheetPr codeName="Feuil3"/>
  <dimension ref="B9"/>
  <sheetViews>
    <sheetView showRowColHeaders="0" workbookViewId="0">
      <selection activeCell="G49" sqref="G49"/>
    </sheetView>
  </sheetViews>
  <sheetFormatPr baseColWidth="10" defaultColWidth="11.42578125" defaultRowHeight="15" x14ac:dyDescent="0.25"/>
  <cols>
    <col min="1" max="16384" width="11.42578125" style="25"/>
  </cols>
  <sheetData>
    <row r="9" spans="2:2" ht="29.25" x14ac:dyDescent="0.35">
      <c r="B9" s="73" t="s">
        <v>98</v>
      </c>
    </row>
  </sheetData>
  <sheetProtection sheet="1" select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58A62-F720-4AEF-918C-64264143B217}">
  <sheetPr codeName="Feuil4"/>
  <dimension ref="B9"/>
  <sheetViews>
    <sheetView showRowColHeaders="0" workbookViewId="0">
      <selection activeCell="F60" sqref="F60"/>
    </sheetView>
  </sheetViews>
  <sheetFormatPr baseColWidth="10" defaultColWidth="11.42578125" defaultRowHeight="15" x14ac:dyDescent="0.25"/>
  <cols>
    <col min="1" max="16384" width="11.42578125" style="25"/>
  </cols>
  <sheetData>
    <row r="9" spans="2:2" ht="29.25" x14ac:dyDescent="0.35">
      <c r="B9" s="73" t="s">
        <v>99</v>
      </c>
    </row>
  </sheetData>
  <sheetProtection sheet="1" objects="1" scenarios="1" selectLockedCell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4F43C-B7C2-46FC-B3FC-42BADA225800}">
  <sheetPr codeName="Feuil5"/>
  <dimension ref="B9"/>
  <sheetViews>
    <sheetView showRowColHeaders="0" workbookViewId="0">
      <selection activeCell="D70" sqref="D70"/>
    </sheetView>
  </sheetViews>
  <sheetFormatPr baseColWidth="10" defaultColWidth="11.42578125" defaultRowHeight="15" x14ac:dyDescent="0.25"/>
  <cols>
    <col min="1" max="16384" width="11.42578125" style="25"/>
  </cols>
  <sheetData>
    <row r="9" spans="2:2" ht="29.25" x14ac:dyDescent="0.35">
      <c r="B9" s="73" t="s">
        <v>130</v>
      </c>
    </row>
  </sheetData>
  <sheetProtection sheet="1" objects="1" scenarios="1" selectLockedCell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548BC-D7A7-4744-BB8A-673618436ADC}">
  <sheetPr codeName="Feuil6"/>
  <dimension ref="B2:AB36"/>
  <sheetViews>
    <sheetView showRowColHeaders="0" workbookViewId="0">
      <selection activeCell="C10" sqref="C10"/>
    </sheetView>
  </sheetViews>
  <sheetFormatPr baseColWidth="10" defaultColWidth="11.42578125" defaultRowHeight="14.25" x14ac:dyDescent="0.2"/>
  <cols>
    <col min="1" max="1" width="5.5703125" style="45" customWidth="1"/>
    <col min="2" max="2" width="39.85546875" style="45" customWidth="1"/>
    <col min="3" max="12" width="5.7109375" style="45" customWidth="1"/>
    <col min="13" max="26" width="4.5703125" style="45" customWidth="1"/>
    <col min="27" max="27" width="14.140625" style="45" customWidth="1"/>
    <col min="28" max="28" width="14.85546875" style="45" bestFit="1" customWidth="1"/>
    <col min="29" max="16384" width="11.42578125" style="45"/>
  </cols>
  <sheetData>
    <row r="2" spans="2:28" ht="29.25" x14ac:dyDescent="0.35">
      <c r="D2" s="155" t="s">
        <v>71</v>
      </c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</row>
    <row r="4" spans="2:28" ht="18" customHeight="1" thickBot="1" x14ac:dyDescent="0.25"/>
    <row r="5" spans="2:28" ht="18" customHeight="1" x14ac:dyDescent="0.2">
      <c r="B5" s="70"/>
      <c r="O5" s="152" t="s">
        <v>89</v>
      </c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4"/>
    </row>
    <row r="6" spans="2:28" ht="18" customHeight="1" x14ac:dyDescent="0.25">
      <c r="B6" s="72" t="s">
        <v>72</v>
      </c>
      <c r="O6" s="34"/>
      <c r="P6" s="42"/>
      <c r="Q6" s="42"/>
      <c r="R6" s="42"/>
      <c r="S6" s="42"/>
      <c r="T6" s="42"/>
      <c r="U6" s="42"/>
      <c r="V6" s="42"/>
      <c r="W6" s="42"/>
      <c r="X6" s="42"/>
      <c r="Y6" s="42"/>
      <c r="Z6" s="35"/>
    </row>
    <row r="7" spans="2:28" ht="18" customHeight="1" x14ac:dyDescent="0.2">
      <c r="B7" s="71"/>
      <c r="E7" s="46"/>
      <c r="O7" s="44">
        <v>10</v>
      </c>
      <c r="P7" s="36" t="e">
        <f t="shared" ref="P7:Y7" si="0">C10+$L$13</f>
        <v>#VALUE!</v>
      </c>
      <c r="Q7" s="36" t="e">
        <f t="shared" si="0"/>
        <v>#VALUE!</v>
      </c>
      <c r="R7" s="36" t="e">
        <f t="shared" si="0"/>
        <v>#VALUE!</v>
      </c>
      <c r="S7" s="36" t="e">
        <f t="shared" si="0"/>
        <v>#VALUE!</v>
      </c>
      <c r="T7" s="36" t="e">
        <f t="shared" si="0"/>
        <v>#VALUE!</v>
      </c>
      <c r="U7" s="36" t="e">
        <f t="shared" si="0"/>
        <v>#VALUE!</v>
      </c>
      <c r="V7" s="36" t="e">
        <f t="shared" si="0"/>
        <v>#VALUE!</v>
      </c>
      <c r="W7" s="36" t="e">
        <f t="shared" si="0"/>
        <v>#VALUE!</v>
      </c>
      <c r="X7" s="36" t="e">
        <f t="shared" si="0"/>
        <v>#VALUE!</v>
      </c>
      <c r="Y7" s="36" t="e">
        <f t="shared" si="0"/>
        <v>#VALUE!</v>
      </c>
      <c r="Z7" s="35"/>
    </row>
    <row r="8" spans="2:28" ht="18" customHeight="1" x14ac:dyDescent="0.2">
      <c r="B8" s="71"/>
      <c r="C8" s="47"/>
      <c r="D8" s="47"/>
      <c r="E8" s="47"/>
      <c r="F8" s="47"/>
      <c r="G8" s="47"/>
      <c r="H8" s="47"/>
      <c r="I8" s="47"/>
      <c r="J8" s="47"/>
      <c r="K8" s="47"/>
      <c r="L8" s="47"/>
      <c r="O8" s="44">
        <v>9</v>
      </c>
      <c r="P8" s="36" t="e">
        <f t="shared" ref="P8:Y8" si="1">C10+$K$13</f>
        <v>#VALUE!</v>
      </c>
      <c r="Q8" s="36" t="e">
        <f t="shared" si="1"/>
        <v>#VALUE!</v>
      </c>
      <c r="R8" s="36" t="e">
        <f t="shared" si="1"/>
        <v>#VALUE!</v>
      </c>
      <c r="S8" s="36" t="e">
        <f t="shared" si="1"/>
        <v>#VALUE!</v>
      </c>
      <c r="T8" s="36" t="e">
        <f t="shared" si="1"/>
        <v>#VALUE!</v>
      </c>
      <c r="U8" s="36" t="e">
        <f t="shared" si="1"/>
        <v>#VALUE!</v>
      </c>
      <c r="V8" s="36" t="e">
        <f t="shared" si="1"/>
        <v>#VALUE!</v>
      </c>
      <c r="W8" s="36" t="e">
        <f t="shared" si="1"/>
        <v>#VALUE!</v>
      </c>
      <c r="X8" s="36" t="e">
        <f t="shared" si="1"/>
        <v>#VALUE!</v>
      </c>
      <c r="Y8" s="36" t="e">
        <f t="shared" si="1"/>
        <v>#VALUE!</v>
      </c>
      <c r="Z8" s="35"/>
    </row>
    <row r="9" spans="2:28" ht="18" customHeight="1" x14ac:dyDescent="0.25">
      <c r="B9" s="71" t="s">
        <v>73</v>
      </c>
      <c r="C9" s="37" t="s">
        <v>74</v>
      </c>
      <c r="D9" s="38" t="s">
        <v>75</v>
      </c>
      <c r="E9" s="38" t="s">
        <v>76</v>
      </c>
      <c r="F9" s="38" t="s">
        <v>77</v>
      </c>
      <c r="G9" s="38" t="s">
        <v>78</v>
      </c>
      <c r="H9" s="38" t="s">
        <v>79</v>
      </c>
      <c r="I9" s="38" t="s">
        <v>80</v>
      </c>
      <c r="J9" s="38" t="s">
        <v>81</v>
      </c>
      <c r="K9" s="38" t="s">
        <v>82</v>
      </c>
      <c r="L9" s="39" t="s">
        <v>83</v>
      </c>
      <c r="M9" s="48"/>
      <c r="O9" s="44">
        <v>8</v>
      </c>
      <c r="P9" s="36" t="e">
        <f t="shared" ref="P9:Y9" si="2">C10+$J$13</f>
        <v>#VALUE!</v>
      </c>
      <c r="Q9" s="36" t="e">
        <f t="shared" si="2"/>
        <v>#VALUE!</v>
      </c>
      <c r="R9" s="36" t="e">
        <f t="shared" si="2"/>
        <v>#VALUE!</v>
      </c>
      <c r="S9" s="36" t="e">
        <f t="shared" si="2"/>
        <v>#VALUE!</v>
      </c>
      <c r="T9" s="36" t="e">
        <f t="shared" si="2"/>
        <v>#VALUE!</v>
      </c>
      <c r="U9" s="36" t="e">
        <f t="shared" si="2"/>
        <v>#VALUE!</v>
      </c>
      <c r="V9" s="36" t="e">
        <f t="shared" si="2"/>
        <v>#VALUE!</v>
      </c>
      <c r="W9" s="36" t="e">
        <f t="shared" si="2"/>
        <v>#VALUE!</v>
      </c>
      <c r="X9" s="36" t="e">
        <f t="shared" si="2"/>
        <v>#VALUE!</v>
      </c>
      <c r="Y9" s="36" t="e">
        <f t="shared" si="2"/>
        <v>#VALUE!</v>
      </c>
      <c r="Z9" s="35"/>
      <c r="AA9" s="49"/>
      <c r="AB9" s="49"/>
    </row>
    <row r="10" spans="2:28" ht="18" customHeight="1" x14ac:dyDescent="0.2">
      <c r="B10" s="71" t="s">
        <v>84</v>
      </c>
      <c r="C10" s="40">
        <v>53</v>
      </c>
      <c r="D10" s="40">
        <v>53</v>
      </c>
      <c r="E10" s="40" t="s">
        <v>54</v>
      </c>
      <c r="F10" s="40" t="s">
        <v>54</v>
      </c>
      <c r="G10" s="40" t="s">
        <v>54</v>
      </c>
      <c r="H10" s="40" t="s">
        <v>54</v>
      </c>
      <c r="I10" s="40" t="s">
        <v>54</v>
      </c>
      <c r="J10" s="40" t="s">
        <v>54</v>
      </c>
      <c r="K10" s="40" t="s">
        <v>54</v>
      </c>
      <c r="L10" s="57" t="s">
        <v>54</v>
      </c>
      <c r="M10" s="48"/>
      <c r="O10" s="44">
        <v>7</v>
      </c>
      <c r="P10" s="36" t="e">
        <f t="shared" ref="P10:Y10" si="3">C10+$I$13</f>
        <v>#VALUE!</v>
      </c>
      <c r="Q10" s="36" t="e">
        <f t="shared" si="3"/>
        <v>#VALUE!</v>
      </c>
      <c r="R10" s="36" t="e">
        <f t="shared" si="3"/>
        <v>#VALUE!</v>
      </c>
      <c r="S10" s="36" t="e">
        <f t="shared" si="3"/>
        <v>#VALUE!</v>
      </c>
      <c r="T10" s="36" t="e">
        <f t="shared" si="3"/>
        <v>#VALUE!</v>
      </c>
      <c r="U10" s="36" t="e">
        <f t="shared" si="3"/>
        <v>#VALUE!</v>
      </c>
      <c r="V10" s="36" t="e">
        <f t="shared" si="3"/>
        <v>#VALUE!</v>
      </c>
      <c r="W10" s="36" t="e">
        <f t="shared" si="3"/>
        <v>#VALUE!</v>
      </c>
      <c r="X10" s="36" t="e">
        <f t="shared" si="3"/>
        <v>#VALUE!</v>
      </c>
      <c r="Y10" s="36" t="e">
        <f t="shared" si="3"/>
        <v>#VALUE!</v>
      </c>
      <c r="Z10" s="35"/>
    </row>
    <row r="11" spans="2:28" ht="18" customHeight="1" x14ac:dyDescent="0.2">
      <c r="B11" s="71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8"/>
      <c r="O11" s="44">
        <v>6</v>
      </c>
      <c r="P11" s="36" t="e">
        <f t="shared" ref="P11:Y11" si="4">C10+$H$13</f>
        <v>#VALUE!</v>
      </c>
      <c r="Q11" s="36" t="e">
        <f t="shared" si="4"/>
        <v>#VALUE!</v>
      </c>
      <c r="R11" s="36" t="e">
        <f t="shared" si="4"/>
        <v>#VALUE!</v>
      </c>
      <c r="S11" s="36" t="e">
        <f t="shared" si="4"/>
        <v>#VALUE!</v>
      </c>
      <c r="T11" s="36" t="e">
        <f t="shared" si="4"/>
        <v>#VALUE!</v>
      </c>
      <c r="U11" s="36" t="e">
        <f t="shared" si="4"/>
        <v>#VALUE!</v>
      </c>
      <c r="V11" s="36" t="e">
        <f t="shared" si="4"/>
        <v>#VALUE!</v>
      </c>
      <c r="W11" s="36" t="e">
        <f t="shared" si="4"/>
        <v>#VALUE!</v>
      </c>
      <c r="X11" s="36" t="e">
        <f t="shared" si="4"/>
        <v>#VALUE!</v>
      </c>
      <c r="Y11" s="36" t="e">
        <f t="shared" si="4"/>
        <v>#VALUE!</v>
      </c>
      <c r="Z11" s="35"/>
    </row>
    <row r="12" spans="2:28" ht="18" customHeight="1" x14ac:dyDescent="0.2">
      <c r="B12" s="71" t="s">
        <v>85</v>
      </c>
      <c r="C12" s="37" t="s">
        <v>74</v>
      </c>
      <c r="D12" s="38" t="s">
        <v>75</v>
      </c>
      <c r="E12" s="38" t="s">
        <v>76</v>
      </c>
      <c r="F12" s="38" t="s">
        <v>77</v>
      </c>
      <c r="G12" s="38" t="s">
        <v>78</v>
      </c>
      <c r="H12" s="38" t="s">
        <v>79</v>
      </c>
      <c r="I12" s="38" t="s">
        <v>80</v>
      </c>
      <c r="J12" s="38" t="s">
        <v>81</v>
      </c>
      <c r="K12" s="38" t="s">
        <v>82</v>
      </c>
      <c r="L12" s="39" t="s">
        <v>83</v>
      </c>
      <c r="M12" s="48"/>
      <c r="O12" s="44">
        <v>5</v>
      </c>
      <c r="P12" s="36" t="e">
        <f t="shared" ref="P12:Y12" si="5">C10+$G$13</f>
        <v>#VALUE!</v>
      </c>
      <c r="Q12" s="36" t="e">
        <f t="shared" si="5"/>
        <v>#VALUE!</v>
      </c>
      <c r="R12" s="36" t="e">
        <f t="shared" si="5"/>
        <v>#VALUE!</v>
      </c>
      <c r="S12" s="36" t="e">
        <f t="shared" si="5"/>
        <v>#VALUE!</v>
      </c>
      <c r="T12" s="36" t="e">
        <f t="shared" si="5"/>
        <v>#VALUE!</v>
      </c>
      <c r="U12" s="36" t="e">
        <f t="shared" si="5"/>
        <v>#VALUE!</v>
      </c>
      <c r="V12" s="36" t="e">
        <f t="shared" si="5"/>
        <v>#VALUE!</v>
      </c>
      <c r="W12" s="36" t="e">
        <f t="shared" si="5"/>
        <v>#VALUE!</v>
      </c>
      <c r="X12" s="36" t="e">
        <f t="shared" si="5"/>
        <v>#VALUE!</v>
      </c>
      <c r="Y12" s="36" t="e">
        <f t="shared" si="5"/>
        <v>#VALUE!</v>
      </c>
      <c r="Z12" s="35"/>
    </row>
    <row r="13" spans="2:28" ht="18" customHeight="1" x14ac:dyDescent="0.2">
      <c r="B13" s="71" t="s">
        <v>86</v>
      </c>
      <c r="C13" s="40">
        <v>36</v>
      </c>
      <c r="D13" s="40">
        <v>26</v>
      </c>
      <c r="E13" s="40">
        <v>26</v>
      </c>
      <c r="F13" s="40" t="s">
        <v>54</v>
      </c>
      <c r="G13" s="40" t="s">
        <v>54</v>
      </c>
      <c r="H13" s="40" t="s">
        <v>54</v>
      </c>
      <c r="I13" s="40" t="s">
        <v>54</v>
      </c>
      <c r="J13" s="40" t="s">
        <v>54</v>
      </c>
      <c r="K13" s="40" t="s">
        <v>54</v>
      </c>
      <c r="L13" s="40" t="s">
        <v>54</v>
      </c>
      <c r="M13" s="48"/>
      <c r="O13" s="44">
        <v>4</v>
      </c>
      <c r="P13" s="36" t="e">
        <f t="shared" ref="P13:Y13" si="6">C10+$F$13</f>
        <v>#VALUE!</v>
      </c>
      <c r="Q13" s="36" t="e">
        <f t="shared" si="6"/>
        <v>#VALUE!</v>
      </c>
      <c r="R13" s="36" t="e">
        <f t="shared" si="6"/>
        <v>#VALUE!</v>
      </c>
      <c r="S13" s="36" t="e">
        <f t="shared" si="6"/>
        <v>#VALUE!</v>
      </c>
      <c r="T13" s="36" t="e">
        <f t="shared" si="6"/>
        <v>#VALUE!</v>
      </c>
      <c r="U13" s="36" t="e">
        <f t="shared" si="6"/>
        <v>#VALUE!</v>
      </c>
      <c r="V13" s="36" t="e">
        <f t="shared" si="6"/>
        <v>#VALUE!</v>
      </c>
      <c r="W13" s="36" t="e">
        <f t="shared" si="6"/>
        <v>#VALUE!</v>
      </c>
      <c r="X13" s="36" t="e">
        <f t="shared" si="6"/>
        <v>#VALUE!</v>
      </c>
      <c r="Y13" s="36" t="e">
        <f t="shared" si="6"/>
        <v>#VALUE!</v>
      </c>
      <c r="Z13" s="35"/>
    </row>
    <row r="14" spans="2:28" ht="18" customHeight="1" x14ac:dyDescent="0.2">
      <c r="B14" s="71"/>
      <c r="M14" s="48"/>
      <c r="O14" s="44">
        <v>3</v>
      </c>
      <c r="P14" s="36">
        <f t="shared" ref="P14:Y14" si="7">C10+$E$13</f>
        <v>79</v>
      </c>
      <c r="Q14" s="36">
        <f t="shared" si="7"/>
        <v>79</v>
      </c>
      <c r="R14" s="36" t="e">
        <f t="shared" si="7"/>
        <v>#VALUE!</v>
      </c>
      <c r="S14" s="36" t="e">
        <f t="shared" si="7"/>
        <v>#VALUE!</v>
      </c>
      <c r="T14" s="36" t="e">
        <f t="shared" si="7"/>
        <v>#VALUE!</v>
      </c>
      <c r="U14" s="36" t="e">
        <f t="shared" si="7"/>
        <v>#VALUE!</v>
      </c>
      <c r="V14" s="36" t="e">
        <f t="shared" si="7"/>
        <v>#VALUE!</v>
      </c>
      <c r="W14" s="36" t="e">
        <f t="shared" si="7"/>
        <v>#VALUE!</v>
      </c>
      <c r="X14" s="36" t="e">
        <f t="shared" si="7"/>
        <v>#VALUE!</v>
      </c>
      <c r="Y14" s="36" t="e">
        <f t="shared" si="7"/>
        <v>#VALUE!</v>
      </c>
      <c r="Z14" s="35"/>
    </row>
    <row r="15" spans="2:28" ht="18" customHeight="1" x14ac:dyDescent="0.2">
      <c r="B15" s="95" t="s">
        <v>161</v>
      </c>
      <c r="C15" s="93">
        <v>26</v>
      </c>
      <c r="D15" s="93">
        <v>36</v>
      </c>
      <c r="F15" s="71"/>
      <c r="O15" s="44">
        <v>2</v>
      </c>
      <c r="P15" s="36">
        <f t="shared" ref="P15:Y15" si="8">C10+$D$13</f>
        <v>79</v>
      </c>
      <c r="Q15" s="36">
        <f t="shared" si="8"/>
        <v>79</v>
      </c>
      <c r="R15" s="36" t="e">
        <f t="shared" si="8"/>
        <v>#VALUE!</v>
      </c>
      <c r="S15" s="36" t="e">
        <f t="shared" si="8"/>
        <v>#VALUE!</v>
      </c>
      <c r="T15" s="36" t="e">
        <f t="shared" si="8"/>
        <v>#VALUE!</v>
      </c>
      <c r="U15" s="36" t="e">
        <f t="shared" si="8"/>
        <v>#VALUE!</v>
      </c>
      <c r="V15" s="36" t="e">
        <f t="shared" si="8"/>
        <v>#VALUE!</v>
      </c>
      <c r="W15" s="36" t="e">
        <f t="shared" si="8"/>
        <v>#VALUE!</v>
      </c>
      <c r="X15" s="36" t="e">
        <f t="shared" si="8"/>
        <v>#VALUE!</v>
      </c>
      <c r="Y15" s="36" t="e">
        <f t="shared" si="8"/>
        <v>#VALUE!</v>
      </c>
      <c r="Z15" s="35"/>
    </row>
    <row r="16" spans="2:28" ht="18" customHeight="1" x14ac:dyDescent="0.2">
      <c r="B16" s="71" t="s">
        <v>87</v>
      </c>
      <c r="C16" s="56">
        <v>0</v>
      </c>
      <c r="D16" s="56">
        <v>0</v>
      </c>
      <c r="O16" s="44">
        <v>1</v>
      </c>
      <c r="P16" s="36">
        <f t="shared" ref="P16:Y16" si="9">C10+$C$13</f>
        <v>89</v>
      </c>
      <c r="Q16" s="36">
        <f t="shared" si="9"/>
        <v>89</v>
      </c>
      <c r="R16" s="36" t="e">
        <f t="shared" si="9"/>
        <v>#VALUE!</v>
      </c>
      <c r="S16" s="36" t="e">
        <f t="shared" si="9"/>
        <v>#VALUE!</v>
      </c>
      <c r="T16" s="36" t="e">
        <f t="shared" si="9"/>
        <v>#VALUE!</v>
      </c>
      <c r="U16" s="36" t="e">
        <f t="shared" si="9"/>
        <v>#VALUE!</v>
      </c>
      <c r="V16" s="36" t="e">
        <f t="shared" si="9"/>
        <v>#VALUE!</v>
      </c>
      <c r="W16" s="36" t="e">
        <f t="shared" si="9"/>
        <v>#VALUE!</v>
      </c>
      <c r="X16" s="36" t="e">
        <f t="shared" si="9"/>
        <v>#VALUE!</v>
      </c>
      <c r="Y16" s="36" t="e">
        <f t="shared" si="9"/>
        <v>#VALUE!</v>
      </c>
      <c r="Z16" s="35"/>
    </row>
    <row r="17" spans="2:26" ht="18" customHeight="1" x14ac:dyDescent="0.2">
      <c r="B17" s="71" t="s">
        <v>88</v>
      </c>
      <c r="C17" s="56">
        <v>0</v>
      </c>
      <c r="D17" s="56">
        <v>0</v>
      </c>
      <c r="O17" s="34"/>
      <c r="P17" s="43">
        <v>1</v>
      </c>
      <c r="Q17" s="43">
        <v>2</v>
      </c>
      <c r="R17" s="43">
        <v>3</v>
      </c>
      <c r="S17" s="43">
        <v>4</v>
      </c>
      <c r="T17" s="43">
        <v>5</v>
      </c>
      <c r="U17" s="43">
        <v>6</v>
      </c>
      <c r="V17" s="43">
        <v>7</v>
      </c>
      <c r="W17" s="43">
        <v>8</v>
      </c>
      <c r="X17" s="43">
        <v>9</v>
      </c>
      <c r="Y17" s="43">
        <v>10</v>
      </c>
      <c r="Z17" s="35"/>
    </row>
    <row r="18" spans="2:26" ht="18" customHeight="1" thickBot="1" x14ac:dyDescent="0.25">
      <c r="B18" s="71" t="s">
        <v>90</v>
      </c>
      <c r="C18" s="56">
        <v>0</v>
      </c>
      <c r="D18" s="56">
        <v>1</v>
      </c>
      <c r="O18" s="50" t="s">
        <v>94</v>
      </c>
      <c r="P18" s="51"/>
      <c r="Q18" s="157">
        <f>6+(26*'Données Bas'!B17)+(36*'Données Bas'!B18)+(SUM('Données Bas'!B17:B18)*1.8)+1.8</f>
        <v>101.2</v>
      </c>
      <c r="R18" s="158"/>
      <c r="S18" s="52" t="s">
        <v>95</v>
      </c>
      <c r="T18" s="51"/>
      <c r="U18" s="159">
        <f>3+53*'Données Bas'!B20+73*'Données Bas'!B21+93*'Données Bas'!B22+(SUM('Données Bas'!B20:B22)*2.5)+0.5</f>
        <v>114.5</v>
      </c>
      <c r="V18" s="160"/>
      <c r="W18" s="52" t="s">
        <v>96</v>
      </c>
      <c r="X18" s="53"/>
      <c r="Y18" s="53"/>
      <c r="Z18" s="54">
        <v>40</v>
      </c>
    </row>
    <row r="19" spans="2:26" ht="18" customHeight="1" x14ac:dyDescent="0.2">
      <c r="B19" s="71"/>
      <c r="O19" s="89"/>
      <c r="P19" s="47"/>
      <c r="Q19" s="90"/>
      <c r="R19" s="90"/>
      <c r="S19" s="89"/>
      <c r="T19" s="47"/>
      <c r="U19" s="91"/>
      <c r="V19" s="91"/>
      <c r="W19" s="89"/>
      <c r="X19" s="92"/>
      <c r="Y19" s="92"/>
      <c r="Z19" s="89"/>
    </row>
    <row r="20" spans="2:26" ht="18" customHeight="1" x14ac:dyDescent="0.2">
      <c r="B20" s="71"/>
    </row>
    <row r="21" spans="2:26" ht="18" customHeight="1" x14ac:dyDescent="0.2">
      <c r="B21" s="71" t="s">
        <v>91</v>
      </c>
      <c r="C21" s="156">
        <f>'Données Bas'!D32</f>
        <v>944</v>
      </c>
      <c r="D21" s="156"/>
      <c r="E21" s="156"/>
    </row>
    <row r="22" spans="2:26" ht="18" customHeight="1" x14ac:dyDescent="0.2">
      <c r="B22" s="71"/>
      <c r="E22" s="55"/>
    </row>
    <row r="23" spans="2:26" ht="18" customHeight="1" thickBot="1" x14ac:dyDescent="0.25">
      <c r="B23" s="71"/>
      <c r="E23" s="55"/>
    </row>
    <row r="24" spans="2:26" ht="18" customHeight="1" thickBot="1" x14ac:dyDescent="0.25">
      <c r="B24" s="151" t="s">
        <v>97</v>
      </c>
      <c r="C24" s="124" t="s">
        <v>92</v>
      </c>
      <c r="D24" s="122" t="str">
        <f>IF('Données Bas'!B20=0,"",'Données Bas'!B20&amp;"x53-")</f>
        <v>2x53-</v>
      </c>
      <c r="E24" s="122" t="str">
        <f>IF('Données Bas'!B21=0,"",'Données Bas'!B21&amp;"x73-")</f>
        <v/>
      </c>
      <c r="F24" s="122" t="str">
        <f>IF('Données Bas'!B22=0,"",'Données Bas'!B22&amp;"x93-")</f>
        <v/>
      </c>
      <c r="G24" s="122" t="str">
        <f>IF('Données Bas'!B17=0,"",'Données Bas'!B17&amp;"x26-")</f>
        <v>2x26-</v>
      </c>
      <c r="H24" s="122" t="str">
        <f>IF('Données Bas'!B18=0,"",'Données Bas'!B18&amp;"x36")</f>
        <v>1x36</v>
      </c>
      <c r="I24" s="123"/>
    </row>
    <row r="25" spans="2:26" ht="18" customHeight="1" x14ac:dyDescent="0.2">
      <c r="B25" s="151"/>
      <c r="C25" s="165" t="s">
        <v>93</v>
      </c>
      <c r="D25" s="166"/>
      <c r="E25" s="161" t="str">
        <f>IF(C16=0,"",C16&amp;"x26x53-")&amp;IF(C17=0,"",C17&amp;"x26x73-")&amp;IF(C18=0,"",C18&amp;"x26x93-")&amp;IF(D16=0,"",D16&amp;"x36x53-")&amp;IF(D17=0,"",D17&amp;"x36x73-")&amp;IF(D18=0,"",D18&amp;"x36x93")</f>
        <v>1x36x93</v>
      </c>
      <c r="F25" s="161"/>
      <c r="G25" s="161"/>
      <c r="H25" s="161"/>
      <c r="I25" s="162"/>
    </row>
    <row r="26" spans="2:26" ht="18" customHeight="1" thickBot="1" x14ac:dyDescent="0.25">
      <c r="B26" s="71"/>
      <c r="C26" s="167"/>
      <c r="D26" s="168"/>
      <c r="E26" s="163"/>
      <c r="F26" s="163"/>
      <c r="G26" s="163"/>
      <c r="H26" s="163"/>
      <c r="I26" s="164"/>
    </row>
    <row r="27" spans="2:26" ht="18" customHeight="1" x14ac:dyDescent="0.2">
      <c r="I27" s="94"/>
    </row>
    <row r="28" spans="2:26" ht="18" customHeight="1" x14ac:dyDescent="0.2"/>
    <row r="29" spans="2:26" ht="18" customHeight="1" x14ac:dyDescent="0.2"/>
    <row r="30" spans="2:26" ht="18" customHeight="1" x14ac:dyDescent="0.2"/>
    <row r="31" spans="2:26" ht="18" customHeight="1" x14ac:dyDescent="0.2"/>
    <row r="32" spans="2:26" ht="18" customHeight="1" x14ac:dyDescent="0.2">
      <c r="B32" s="47"/>
    </row>
    <row r="33" spans="2:2" ht="18" customHeight="1" x14ac:dyDescent="0.2"/>
    <row r="34" spans="2:2" ht="18" customHeight="1" x14ac:dyDescent="0.2">
      <c r="B34" s="47"/>
    </row>
    <row r="35" spans="2:2" ht="18" customHeight="1" x14ac:dyDescent="0.2">
      <c r="B35" s="47"/>
    </row>
    <row r="36" spans="2:2" ht="18" customHeight="1" x14ac:dyDescent="0.2">
      <c r="B36" s="47"/>
    </row>
  </sheetData>
  <sheetProtection sheet="1" objects="1" scenarios="1" selectLockedCells="1"/>
  <protectedRanges>
    <protectedRange sqref="C10:L10 C13:L13 C16:D18" name="Plage1"/>
  </protectedRanges>
  <mergeCells count="8">
    <mergeCell ref="B24:B25"/>
    <mergeCell ref="O5:Z5"/>
    <mergeCell ref="D2:U2"/>
    <mergeCell ref="C21:E21"/>
    <mergeCell ref="Q18:R18"/>
    <mergeCell ref="U18:V18"/>
    <mergeCell ref="E25:I26"/>
    <mergeCell ref="C25:D26"/>
  </mergeCells>
  <conditionalFormatting sqref="P7:Y16">
    <cfRule type="cellIs" dxfId="108" priority="1" operator="equal">
      <formula>129</formula>
    </cfRule>
    <cfRule type="cellIs" dxfId="107" priority="2" operator="equal">
      <formula>109</formula>
    </cfRule>
    <cfRule type="cellIs" dxfId="106" priority="3" operator="equal">
      <formula>89</formula>
    </cfRule>
    <cfRule type="cellIs" dxfId="105" priority="4" operator="equal">
      <formula>119</formula>
    </cfRule>
    <cfRule type="cellIs" dxfId="104" priority="5" operator="equal">
      <formula>99</formula>
    </cfRule>
    <cfRule type="cellIs" dxfId="103" priority="6" operator="equal">
      <formula>79</formula>
    </cfRule>
  </conditionalFormatting>
  <pageMargins left="0.25" right="0.25" top="0.75" bottom="0.75" header="0.3" footer="0.3"/>
  <pageSetup paperSize="9" scale="83" orientation="landscape" r:id="rId1"/>
  <ignoredErrors>
    <ignoredError sqref="P7:Y1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4" name="Button 5">
              <controlPr defaultSize="0" print="0" autoFill="0" autoPict="0" macro="[0]!PDFBasileFR">
                <anchor moveWithCells="1">
                  <from>
                    <xdr:col>12</xdr:col>
                    <xdr:colOff>247650</xdr:colOff>
                    <xdr:row>19</xdr:row>
                    <xdr:rowOff>66675</xdr:rowOff>
                  </from>
                  <to>
                    <xdr:col>19</xdr:col>
                    <xdr:colOff>19050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tableParts count="2">
    <tablePart r:id="rId5"/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F69A39E-9708-4D3E-BB59-C933189940C4}">
          <x14:formula1>
            <xm:f>'Données Bas'!$A$3:$A$6</xm:f>
          </x14:formula1>
          <xm:sqref>C10:L10</xm:sqref>
        </x14:dataValidation>
        <x14:dataValidation type="list" allowBlank="1" showInputMessage="1" showErrorMessage="1" xr:uid="{0E8EC8B6-A90F-494B-9643-3444E8A94F96}">
          <x14:formula1>
            <xm:f>'Données Bas'!$B$3:$B$5</xm:f>
          </x14:formula1>
          <xm:sqref>C13:L13</xm:sqref>
        </x14:dataValidation>
        <x14:dataValidation type="list" allowBlank="1" showInputMessage="1" showErrorMessage="1" xr:uid="{D0B7DBD1-FE9C-460A-9E12-8B5913E7DBFE}">
          <x14:formula1>
            <xm:f>'Données Bas'!$C$3:$C$13</xm:f>
          </x14:formula1>
          <xm:sqref>C16:D18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7C71B-7712-4224-A1AA-F5AF8B6B283A}">
  <sheetPr codeName="Feuil7"/>
  <dimension ref="B2:AB36"/>
  <sheetViews>
    <sheetView showGridLines="0" showRowColHeaders="0" workbookViewId="0">
      <selection activeCell="C10" sqref="C10"/>
    </sheetView>
  </sheetViews>
  <sheetFormatPr baseColWidth="10" defaultColWidth="11.42578125" defaultRowHeight="15" x14ac:dyDescent="0.25"/>
  <cols>
    <col min="1" max="1" width="5.5703125" style="25" customWidth="1"/>
    <col min="2" max="2" width="39.5703125" style="25" bestFit="1" customWidth="1"/>
    <col min="3" max="12" width="5.7109375" style="25" customWidth="1"/>
    <col min="13" max="26" width="4.5703125" style="25" customWidth="1"/>
    <col min="27" max="27" width="14.140625" style="25" customWidth="1"/>
    <col min="28" max="28" width="14.85546875" style="25" bestFit="1" customWidth="1"/>
    <col min="29" max="16384" width="11.42578125" style="25"/>
  </cols>
  <sheetData>
    <row r="2" spans="2:28" ht="29.25" x14ac:dyDescent="0.35">
      <c r="E2" s="73" t="s">
        <v>100</v>
      </c>
    </row>
    <row r="4" spans="2:28" ht="18" customHeight="1" thickBot="1" x14ac:dyDescent="0.3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2:28" ht="18" customHeight="1" x14ac:dyDescent="0.2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152" t="s">
        <v>111</v>
      </c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4"/>
      <c r="AA5" s="45"/>
      <c r="AB5" s="45"/>
    </row>
    <row r="6" spans="2:28" ht="18" customHeight="1" x14ac:dyDescent="0.25">
      <c r="B6" s="72" t="s">
        <v>101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34"/>
      <c r="P6" s="42"/>
      <c r="Q6" s="42"/>
      <c r="R6" s="42"/>
      <c r="S6" s="42"/>
      <c r="T6" s="42"/>
      <c r="U6" s="42"/>
      <c r="V6" s="42"/>
      <c r="W6" s="42"/>
      <c r="X6" s="42"/>
      <c r="Y6" s="42"/>
      <c r="Z6" s="35"/>
      <c r="AA6" s="45"/>
      <c r="AB6" s="45"/>
    </row>
    <row r="7" spans="2:28" ht="18" customHeight="1" x14ac:dyDescent="0.25">
      <c r="B7" s="71"/>
      <c r="C7" s="45"/>
      <c r="D7" s="45"/>
      <c r="E7" s="46"/>
      <c r="F7" s="45"/>
      <c r="G7" s="45"/>
      <c r="H7" s="45"/>
      <c r="I7" s="45"/>
      <c r="J7" s="45"/>
      <c r="K7" s="45"/>
      <c r="L7" s="45"/>
      <c r="M7" s="45"/>
      <c r="N7" s="45"/>
      <c r="O7" s="41">
        <v>10</v>
      </c>
      <c r="P7" s="36" t="e">
        <f t="shared" ref="P7:Y7" si="0">C10+$L$13</f>
        <v>#VALUE!</v>
      </c>
      <c r="Q7" s="36" t="e">
        <f t="shared" si="0"/>
        <v>#VALUE!</v>
      </c>
      <c r="R7" s="36" t="e">
        <f t="shared" si="0"/>
        <v>#VALUE!</v>
      </c>
      <c r="S7" s="36" t="e">
        <f t="shared" si="0"/>
        <v>#VALUE!</v>
      </c>
      <c r="T7" s="36" t="e">
        <f t="shared" si="0"/>
        <v>#VALUE!</v>
      </c>
      <c r="U7" s="36" t="e">
        <f t="shared" si="0"/>
        <v>#VALUE!</v>
      </c>
      <c r="V7" s="36" t="e">
        <f t="shared" si="0"/>
        <v>#VALUE!</v>
      </c>
      <c r="W7" s="36" t="e">
        <f t="shared" si="0"/>
        <v>#VALUE!</v>
      </c>
      <c r="X7" s="36" t="e">
        <f t="shared" si="0"/>
        <v>#VALUE!</v>
      </c>
      <c r="Y7" s="36" t="e">
        <f t="shared" si="0"/>
        <v>#VALUE!</v>
      </c>
      <c r="Z7" s="35"/>
      <c r="AA7" s="45"/>
      <c r="AB7" s="45"/>
    </row>
    <row r="8" spans="2:28" ht="18" customHeight="1" x14ac:dyDescent="0.25">
      <c r="B8" s="71"/>
      <c r="C8" s="47"/>
      <c r="D8" s="47"/>
      <c r="E8" s="47"/>
      <c r="F8" s="47"/>
      <c r="G8" s="47"/>
      <c r="H8" s="47"/>
      <c r="I8" s="47"/>
      <c r="J8" s="47"/>
      <c r="K8" s="47"/>
      <c r="L8" s="47"/>
      <c r="M8" s="45"/>
      <c r="N8" s="45"/>
      <c r="O8" s="41">
        <v>9</v>
      </c>
      <c r="P8" s="36" t="e">
        <f t="shared" ref="P8:Y8" si="1">C10+$K$13</f>
        <v>#VALUE!</v>
      </c>
      <c r="Q8" s="36" t="e">
        <f t="shared" si="1"/>
        <v>#VALUE!</v>
      </c>
      <c r="R8" s="36" t="e">
        <f t="shared" si="1"/>
        <v>#VALUE!</v>
      </c>
      <c r="S8" s="36" t="e">
        <f t="shared" si="1"/>
        <v>#VALUE!</v>
      </c>
      <c r="T8" s="36" t="e">
        <f t="shared" si="1"/>
        <v>#VALUE!</v>
      </c>
      <c r="U8" s="36" t="e">
        <f t="shared" si="1"/>
        <v>#VALUE!</v>
      </c>
      <c r="V8" s="36" t="e">
        <f t="shared" si="1"/>
        <v>#VALUE!</v>
      </c>
      <c r="W8" s="36" t="e">
        <f t="shared" si="1"/>
        <v>#VALUE!</v>
      </c>
      <c r="X8" s="36" t="e">
        <f t="shared" si="1"/>
        <v>#VALUE!</v>
      </c>
      <c r="Y8" s="36" t="e">
        <f t="shared" si="1"/>
        <v>#VALUE!</v>
      </c>
      <c r="Z8" s="35"/>
      <c r="AA8" s="45"/>
      <c r="AB8" s="45"/>
    </row>
    <row r="9" spans="2:28" ht="18" customHeight="1" x14ac:dyDescent="0.25">
      <c r="B9" s="71" t="s">
        <v>102</v>
      </c>
      <c r="C9" s="37" t="s">
        <v>74</v>
      </c>
      <c r="D9" s="38" t="s">
        <v>75</v>
      </c>
      <c r="E9" s="38" t="s">
        <v>76</v>
      </c>
      <c r="F9" s="38" t="s">
        <v>77</v>
      </c>
      <c r="G9" s="38" t="s">
        <v>78</v>
      </c>
      <c r="H9" s="38" t="s">
        <v>79</v>
      </c>
      <c r="I9" s="38" t="s">
        <v>80</v>
      </c>
      <c r="J9" s="38" t="s">
        <v>81</v>
      </c>
      <c r="K9" s="38" t="s">
        <v>82</v>
      </c>
      <c r="L9" s="39" t="s">
        <v>83</v>
      </c>
      <c r="M9" s="48"/>
      <c r="N9" s="45"/>
      <c r="O9" s="41">
        <v>8</v>
      </c>
      <c r="P9" s="36" t="e">
        <f t="shared" ref="P9:Y9" si="2">C10+$J$13</f>
        <v>#VALUE!</v>
      </c>
      <c r="Q9" s="36" t="e">
        <f t="shared" si="2"/>
        <v>#VALUE!</v>
      </c>
      <c r="R9" s="36" t="e">
        <f t="shared" si="2"/>
        <v>#VALUE!</v>
      </c>
      <c r="S9" s="36" t="e">
        <f t="shared" si="2"/>
        <v>#VALUE!</v>
      </c>
      <c r="T9" s="36" t="e">
        <f t="shared" si="2"/>
        <v>#VALUE!</v>
      </c>
      <c r="U9" s="36" t="e">
        <f t="shared" si="2"/>
        <v>#VALUE!</v>
      </c>
      <c r="V9" s="36" t="e">
        <f t="shared" si="2"/>
        <v>#VALUE!</v>
      </c>
      <c r="W9" s="36" t="e">
        <f t="shared" si="2"/>
        <v>#VALUE!</v>
      </c>
      <c r="X9" s="36" t="e">
        <f t="shared" si="2"/>
        <v>#VALUE!</v>
      </c>
      <c r="Y9" s="36" t="e">
        <f t="shared" si="2"/>
        <v>#VALUE!</v>
      </c>
      <c r="Z9" s="35"/>
      <c r="AA9" s="49"/>
      <c r="AB9" s="49"/>
    </row>
    <row r="10" spans="2:28" ht="18" customHeight="1" x14ac:dyDescent="0.25">
      <c r="B10" s="71" t="s">
        <v>103</v>
      </c>
      <c r="C10" s="40">
        <v>53</v>
      </c>
      <c r="D10" s="40">
        <v>53</v>
      </c>
      <c r="E10" s="40" t="s">
        <v>54</v>
      </c>
      <c r="F10" s="40" t="s">
        <v>54</v>
      </c>
      <c r="G10" s="40" t="s">
        <v>54</v>
      </c>
      <c r="H10" s="40" t="s">
        <v>54</v>
      </c>
      <c r="I10" s="40" t="s">
        <v>54</v>
      </c>
      <c r="J10" s="40" t="s">
        <v>54</v>
      </c>
      <c r="K10" s="40" t="s">
        <v>54</v>
      </c>
      <c r="L10" s="40" t="s">
        <v>54</v>
      </c>
      <c r="M10" s="48"/>
      <c r="N10" s="45"/>
      <c r="O10" s="41">
        <v>7</v>
      </c>
      <c r="P10" s="36" t="e">
        <f t="shared" ref="P10:Y10" si="3">C10+$I$13</f>
        <v>#VALUE!</v>
      </c>
      <c r="Q10" s="36" t="e">
        <f t="shared" si="3"/>
        <v>#VALUE!</v>
      </c>
      <c r="R10" s="36" t="e">
        <f t="shared" si="3"/>
        <v>#VALUE!</v>
      </c>
      <c r="S10" s="36" t="e">
        <f t="shared" si="3"/>
        <v>#VALUE!</v>
      </c>
      <c r="T10" s="36" t="e">
        <f t="shared" si="3"/>
        <v>#VALUE!</v>
      </c>
      <c r="U10" s="36" t="e">
        <f t="shared" si="3"/>
        <v>#VALUE!</v>
      </c>
      <c r="V10" s="36" t="e">
        <f t="shared" si="3"/>
        <v>#VALUE!</v>
      </c>
      <c r="W10" s="36" t="e">
        <f t="shared" si="3"/>
        <v>#VALUE!</v>
      </c>
      <c r="X10" s="36" t="e">
        <f t="shared" si="3"/>
        <v>#VALUE!</v>
      </c>
      <c r="Y10" s="36" t="e">
        <f t="shared" si="3"/>
        <v>#VALUE!</v>
      </c>
      <c r="Z10" s="35"/>
      <c r="AA10" s="45"/>
      <c r="AB10" s="45"/>
    </row>
    <row r="11" spans="2:28" ht="18" customHeight="1" x14ac:dyDescent="0.25">
      <c r="B11" s="71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8"/>
      <c r="N11" s="45"/>
      <c r="O11" s="41">
        <v>6</v>
      </c>
      <c r="P11" s="36" t="e">
        <f t="shared" ref="P11:Y11" si="4">C10+$H$13</f>
        <v>#VALUE!</v>
      </c>
      <c r="Q11" s="36" t="e">
        <f t="shared" si="4"/>
        <v>#VALUE!</v>
      </c>
      <c r="R11" s="36" t="e">
        <f t="shared" si="4"/>
        <v>#VALUE!</v>
      </c>
      <c r="S11" s="36" t="e">
        <f t="shared" si="4"/>
        <v>#VALUE!</v>
      </c>
      <c r="T11" s="36" t="e">
        <f t="shared" si="4"/>
        <v>#VALUE!</v>
      </c>
      <c r="U11" s="36" t="e">
        <f t="shared" si="4"/>
        <v>#VALUE!</v>
      </c>
      <c r="V11" s="36" t="e">
        <f t="shared" si="4"/>
        <v>#VALUE!</v>
      </c>
      <c r="W11" s="36" t="e">
        <f t="shared" si="4"/>
        <v>#VALUE!</v>
      </c>
      <c r="X11" s="36" t="e">
        <f t="shared" si="4"/>
        <v>#VALUE!</v>
      </c>
      <c r="Y11" s="36" t="e">
        <f t="shared" si="4"/>
        <v>#VALUE!</v>
      </c>
      <c r="Z11" s="35"/>
      <c r="AA11" s="45"/>
      <c r="AB11" s="45"/>
    </row>
    <row r="12" spans="2:28" ht="18" customHeight="1" x14ac:dyDescent="0.25">
      <c r="B12" s="71" t="s">
        <v>105</v>
      </c>
      <c r="C12" s="37" t="s">
        <v>74</v>
      </c>
      <c r="D12" s="38" t="s">
        <v>75</v>
      </c>
      <c r="E12" s="38" t="s">
        <v>76</v>
      </c>
      <c r="F12" s="38" t="s">
        <v>77</v>
      </c>
      <c r="G12" s="38" t="s">
        <v>78</v>
      </c>
      <c r="H12" s="38" t="s">
        <v>79</v>
      </c>
      <c r="I12" s="38" t="s">
        <v>80</v>
      </c>
      <c r="J12" s="38" t="s">
        <v>81</v>
      </c>
      <c r="K12" s="38" t="s">
        <v>82</v>
      </c>
      <c r="L12" s="39" t="s">
        <v>83</v>
      </c>
      <c r="M12" s="48"/>
      <c r="N12" s="45"/>
      <c r="O12" s="41">
        <v>5</v>
      </c>
      <c r="P12" s="36" t="e">
        <f t="shared" ref="P12:Y12" si="5">C10+$G$13</f>
        <v>#VALUE!</v>
      </c>
      <c r="Q12" s="36" t="e">
        <f t="shared" si="5"/>
        <v>#VALUE!</v>
      </c>
      <c r="R12" s="36" t="e">
        <f t="shared" si="5"/>
        <v>#VALUE!</v>
      </c>
      <c r="S12" s="36" t="e">
        <f t="shared" si="5"/>
        <v>#VALUE!</v>
      </c>
      <c r="T12" s="36" t="e">
        <f t="shared" si="5"/>
        <v>#VALUE!</v>
      </c>
      <c r="U12" s="36" t="e">
        <f t="shared" si="5"/>
        <v>#VALUE!</v>
      </c>
      <c r="V12" s="36" t="e">
        <f t="shared" si="5"/>
        <v>#VALUE!</v>
      </c>
      <c r="W12" s="36" t="e">
        <f t="shared" si="5"/>
        <v>#VALUE!</v>
      </c>
      <c r="X12" s="36" t="e">
        <f t="shared" si="5"/>
        <v>#VALUE!</v>
      </c>
      <c r="Y12" s="36" t="e">
        <f t="shared" si="5"/>
        <v>#VALUE!</v>
      </c>
      <c r="Z12" s="35"/>
      <c r="AA12" s="45"/>
      <c r="AB12" s="45"/>
    </row>
    <row r="13" spans="2:28" ht="18" customHeight="1" x14ac:dyDescent="0.25">
      <c r="B13" s="71" t="s">
        <v>104</v>
      </c>
      <c r="C13" s="40">
        <v>36</v>
      </c>
      <c r="D13" s="40">
        <v>26</v>
      </c>
      <c r="E13" s="40">
        <v>26</v>
      </c>
      <c r="F13" s="40" t="s">
        <v>54</v>
      </c>
      <c r="G13" s="40" t="s">
        <v>54</v>
      </c>
      <c r="H13" s="40" t="s">
        <v>54</v>
      </c>
      <c r="I13" s="40" t="s">
        <v>54</v>
      </c>
      <c r="J13" s="40" t="s">
        <v>54</v>
      </c>
      <c r="K13" s="40" t="s">
        <v>54</v>
      </c>
      <c r="L13" s="40" t="s">
        <v>54</v>
      </c>
      <c r="M13" s="48"/>
      <c r="N13" s="45"/>
      <c r="O13" s="41">
        <v>4</v>
      </c>
      <c r="P13" s="36" t="e">
        <f t="shared" ref="P13:Y13" si="6">C10+$F$13</f>
        <v>#VALUE!</v>
      </c>
      <c r="Q13" s="36" t="e">
        <f t="shared" si="6"/>
        <v>#VALUE!</v>
      </c>
      <c r="R13" s="36" t="e">
        <f t="shared" si="6"/>
        <v>#VALUE!</v>
      </c>
      <c r="S13" s="36" t="e">
        <f t="shared" si="6"/>
        <v>#VALUE!</v>
      </c>
      <c r="T13" s="36" t="e">
        <f t="shared" si="6"/>
        <v>#VALUE!</v>
      </c>
      <c r="U13" s="36" t="e">
        <f t="shared" si="6"/>
        <v>#VALUE!</v>
      </c>
      <c r="V13" s="36" t="e">
        <f t="shared" si="6"/>
        <v>#VALUE!</v>
      </c>
      <c r="W13" s="36" t="e">
        <f t="shared" si="6"/>
        <v>#VALUE!</v>
      </c>
      <c r="X13" s="36" t="e">
        <f t="shared" si="6"/>
        <v>#VALUE!</v>
      </c>
      <c r="Y13" s="36" t="e">
        <f t="shared" si="6"/>
        <v>#VALUE!</v>
      </c>
      <c r="Z13" s="35"/>
      <c r="AA13" s="45"/>
      <c r="AB13" s="45"/>
    </row>
    <row r="14" spans="2:28" ht="18" customHeight="1" x14ac:dyDescent="0.25">
      <c r="B14" s="71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8"/>
      <c r="N14" s="45"/>
      <c r="O14" s="41">
        <v>3</v>
      </c>
      <c r="P14" s="36">
        <f t="shared" ref="P14:Y14" si="7">C10+$E$13</f>
        <v>79</v>
      </c>
      <c r="Q14" s="36">
        <f t="shared" si="7"/>
        <v>79</v>
      </c>
      <c r="R14" s="36" t="e">
        <f t="shared" si="7"/>
        <v>#VALUE!</v>
      </c>
      <c r="S14" s="36" t="e">
        <f t="shared" si="7"/>
        <v>#VALUE!</v>
      </c>
      <c r="T14" s="36" t="e">
        <f t="shared" si="7"/>
        <v>#VALUE!</v>
      </c>
      <c r="U14" s="36" t="e">
        <f t="shared" si="7"/>
        <v>#VALUE!</v>
      </c>
      <c r="V14" s="36" t="e">
        <f t="shared" si="7"/>
        <v>#VALUE!</v>
      </c>
      <c r="W14" s="36" t="e">
        <f t="shared" si="7"/>
        <v>#VALUE!</v>
      </c>
      <c r="X14" s="36" t="e">
        <f t="shared" si="7"/>
        <v>#VALUE!</v>
      </c>
      <c r="Y14" s="36" t="e">
        <f t="shared" si="7"/>
        <v>#VALUE!</v>
      </c>
      <c r="Z14" s="35"/>
      <c r="AA14" s="45"/>
      <c r="AB14" s="45"/>
    </row>
    <row r="15" spans="2:28" ht="18" customHeight="1" x14ac:dyDescent="0.25">
      <c r="B15" s="95" t="s">
        <v>162</v>
      </c>
      <c r="C15" s="93">
        <v>26</v>
      </c>
      <c r="D15" s="93">
        <v>36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1">
        <v>2</v>
      </c>
      <c r="P15" s="36">
        <f t="shared" ref="P15:Y15" si="8">C10+$D$13</f>
        <v>79</v>
      </c>
      <c r="Q15" s="36">
        <f t="shared" si="8"/>
        <v>79</v>
      </c>
      <c r="R15" s="36" t="e">
        <f t="shared" si="8"/>
        <v>#VALUE!</v>
      </c>
      <c r="S15" s="36" t="e">
        <f t="shared" si="8"/>
        <v>#VALUE!</v>
      </c>
      <c r="T15" s="36" t="e">
        <f t="shared" si="8"/>
        <v>#VALUE!</v>
      </c>
      <c r="U15" s="36" t="e">
        <f t="shared" si="8"/>
        <v>#VALUE!</v>
      </c>
      <c r="V15" s="36" t="e">
        <f t="shared" si="8"/>
        <v>#VALUE!</v>
      </c>
      <c r="W15" s="36" t="e">
        <f t="shared" si="8"/>
        <v>#VALUE!</v>
      </c>
      <c r="X15" s="36" t="e">
        <f t="shared" si="8"/>
        <v>#VALUE!</v>
      </c>
      <c r="Y15" s="36" t="e">
        <f t="shared" si="8"/>
        <v>#VALUE!</v>
      </c>
      <c r="Z15" s="35"/>
      <c r="AA15" s="45"/>
      <c r="AB15" s="45"/>
    </row>
    <row r="16" spans="2:28" ht="18" customHeight="1" x14ac:dyDescent="0.25">
      <c r="B16" s="71" t="s">
        <v>106</v>
      </c>
      <c r="C16" s="56">
        <v>0</v>
      </c>
      <c r="D16" s="56">
        <v>0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1">
        <v>1</v>
      </c>
      <c r="P16" s="36">
        <f t="shared" ref="P16:Y16" si="9">C10+$C$13</f>
        <v>89</v>
      </c>
      <c r="Q16" s="36">
        <f t="shared" si="9"/>
        <v>89</v>
      </c>
      <c r="R16" s="36" t="e">
        <f t="shared" si="9"/>
        <v>#VALUE!</v>
      </c>
      <c r="S16" s="36" t="e">
        <f t="shared" si="9"/>
        <v>#VALUE!</v>
      </c>
      <c r="T16" s="36" t="e">
        <f t="shared" si="9"/>
        <v>#VALUE!</v>
      </c>
      <c r="U16" s="36" t="e">
        <f t="shared" si="9"/>
        <v>#VALUE!</v>
      </c>
      <c r="V16" s="36" t="e">
        <f t="shared" si="9"/>
        <v>#VALUE!</v>
      </c>
      <c r="W16" s="36" t="e">
        <f t="shared" si="9"/>
        <v>#VALUE!</v>
      </c>
      <c r="X16" s="36" t="e">
        <f t="shared" si="9"/>
        <v>#VALUE!</v>
      </c>
      <c r="Y16" s="36" t="e">
        <f t="shared" si="9"/>
        <v>#VALUE!</v>
      </c>
      <c r="Z16" s="35"/>
      <c r="AA16" s="45"/>
      <c r="AB16" s="45"/>
    </row>
    <row r="17" spans="2:28" ht="18" customHeight="1" x14ac:dyDescent="0.25">
      <c r="B17" s="71" t="s">
        <v>108</v>
      </c>
      <c r="C17" s="56">
        <v>0</v>
      </c>
      <c r="D17" s="56">
        <v>0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34"/>
      <c r="P17" s="43">
        <v>1</v>
      </c>
      <c r="Q17" s="43">
        <v>2</v>
      </c>
      <c r="R17" s="43">
        <v>3</v>
      </c>
      <c r="S17" s="43">
        <v>4</v>
      </c>
      <c r="T17" s="43">
        <v>5</v>
      </c>
      <c r="U17" s="43">
        <v>6</v>
      </c>
      <c r="V17" s="43">
        <v>7</v>
      </c>
      <c r="W17" s="43">
        <v>8</v>
      </c>
      <c r="X17" s="43">
        <v>9</v>
      </c>
      <c r="Y17" s="43">
        <v>10</v>
      </c>
      <c r="Z17" s="35"/>
      <c r="AA17" s="45"/>
      <c r="AB17" s="45"/>
    </row>
    <row r="18" spans="2:28" ht="18" customHeight="1" thickBot="1" x14ac:dyDescent="0.3">
      <c r="B18" s="71" t="s">
        <v>107</v>
      </c>
      <c r="C18" s="56">
        <v>0</v>
      </c>
      <c r="D18" s="56">
        <v>1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64" t="s">
        <v>112</v>
      </c>
      <c r="P18" s="65"/>
      <c r="Q18" s="169">
        <f>6+(26*'Données Bas'!B17)+(36*'Données Bas'!B18)+(SUM('Données Bas'!B17:B18)*1.8)+1.8</f>
        <v>101.2</v>
      </c>
      <c r="R18" s="170"/>
      <c r="S18" s="66" t="s">
        <v>113</v>
      </c>
      <c r="T18" s="65"/>
      <c r="U18" s="171">
        <f>3+53*'Données Bas'!B20+73*'Données Bas'!B21+93*'Données Bas'!B22+(SUM('Données Bas'!B20:B22)*2.5)+0.5</f>
        <v>114.5</v>
      </c>
      <c r="V18" s="172"/>
      <c r="W18" s="66" t="s">
        <v>114</v>
      </c>
      <c r="X18" s="67"/>
      <c r="Y18" s="67"/>
      <c r="Z18" s="68">
        <v>40</v>
      </c>
      <c r="AA18" s="45"/>
      <c r="AB18" s="45"/>
    </row>
    <row r="19" spans="2:28" ht="18" customHeight="1" x14ac:dyDescent="0.25">
      <c r="B19" s="71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</row>
    <row r="20" spans="2:28" ht="18" customHeight="1" x14ac:dyDescent="0.25">
      <c r="B20" s="71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2:28" ht="18" customHeight="1" x14ac:dyDescent="0.25">
      <c r="B21" s="71" t="s">
        <v>109</v>
      </c>
      <c r="C21" s="173">
        <f>'Données Bas'!G32</f>
        <v>944</v>
      </c>
      <c r="D21" s="173"/>
      <c r="E21" s="173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2:28" ht="18" customHeight="1" x14ac:dyDescent="0.25">
      <c r="B22" s="71"/>
      <c r="C22" s="45"/>
      <c r="D22" s="45"/>
      <c r="E22" s="5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2:28" ht="18" customHeight="1" thickBot="1" x14ac:dyDescent="0.3">
      <c r="B23" s="71"/>
      <c r="C23" s="45"/>
      <c r="D23" s="45"/>
      <c r="E23" s="5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2:28" ht="18" customHeight="1" thickBot="1" x14ac:dyDescent="0.3">
      <c r="B24" s="151" t="s">
        <v>110</v>
      </c>
      <c r="C24" s="120" t="s">
        <v>92</v>
      </c>
      <c r="D24" s="118" t="str">
        <f>IF('Données Bas'!E20=0,"",'Données Bas'!E20&amp;"x53-")</f>
        <v>2x53-</v>
      </c>
      <c r="E24" s="118" t="str">
        <f>IF('Données Bas'!E21=0,"",'Données Bas'!E21&amp;"x73-")</f>
        <v/>
      </c>
      <c r="F24" s="118" t="str">
        <f>IF('Données Bas'!E22=0,"",'Données Bas'!E22&amp;"x93-")</f>
        <v/>
      </c>
      <c r="G24" s="118" t="str">
        <f>IF('Données Bas'!E17=0,"",'Données Bas'!E17&amp;"x26-")</f>
        <v>2x26-</v>
      </c>
      <c r="H24" s="118" t="str">
        <f>IF('Données Bas'!E18=0,"",'Données Bas'!E18&amp;"x36")</f>
        <v>1x36</v>
      </c>
      <c r="I24" s="119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2:28" ht="18" customHeight="1" x14ac:dyDescent="0.25">
      <c r="B25" s="151"/>
      <c r="C25" s="178" t="s">
        <v>93</v>
      </c>
      <c r="D25" s="179"/>
      <c r="E25" s="174" t="str">
        <f>IF(C16=0,"",C16&amp;"x26x53-")&amp;IF(C17=0,"",C17&amp;"x26x73-")&amp;IF(C18=0,"",C18&amp;"x26x93-")&amp;IF(D16=0,"",D16&amp;"x36x53-")&amp;IF(D17=0,"",D17&amp;"x36x73-")&amp;IF(D18=0,"",D18&amp;"x36x93")</f>
        <v>1x36x93</v>
      </c>
      <c r="F25" s="174"/>
      <c r="G25" s="174"/>
      <c r="H25" s="174"/>
      <c r="I25" s="17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</row>
    <row r="26" spans="2:28" ht="18" customHeight="1" thickBot="1" x14ac:dyDescent="0.3">
      <c r="B26" s="45"/>
      <c r="C26" s="180"/>
      <c r="D26" s="181"/>
      <c r="E26" s="176"/>
      <c r="F26" s="176"/>
      <c r="G26" s="176"/>
      <c r="H26" s="176"/>
      <c r="I26" s="177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</row>
    <row r="27" spans="2:28" ht="18" customHeight="1" x14ac:dyDescent="0.25"/>
    <row r="28" spans="2:28" ht="18" customHeight="1" x14ac:dyDescent="0.25"/>
    <row r="29" spans="2:28" ht="18" customHeight="1" x14ac:dyDescent="0.25"/>
    <row r="30" spans="2:28" ht="18" customHeight="1" x14ac:dyDescent="0.25"/>
    <row r="31" spans="2:28" ht="18" customHeight="1" x14ac:dyDescent="0.25"/>
    <row r="32" spans="2:28" ht="18" customHeight="1" x14ac:dyDescent="0.25">
      <c r="B32" s="69"/>
    </row>
    <row r="33" spans="2:2" ht="18" customHeight="1" x14ac:dyDescent="0.25"/>
    <row r="34" spans="2:2" ht="18" customHeight="1" x14ac:dyDescent="0.25">
      <c r="B34" s="69"/>
    </row>
    <row r="35" spans="2:2" ht="18" customHeight="1" x14ac:dyDescent="0.25">
      <c r="B35" s="69"/>
    </row>
    <row r="36" spans="2:2" ht="18" customHeight="1" x14ac:dyDescent="0.25">
      <c r="B36" s="69"/>
    </row>
  </sheetData>
  <sheetProtection sheet="1" objects="1" scenarios="1" selectLockedCells="1"/>
  <protectedRanges>
    <protectedRange sqref="C10:L10 C13:L13 C16:D18" name="Plage1"/>
  </protectedRanges>
  <mergeCells count="7">
    <mergeCell ref="Q18:R18"/>
    <mergeCell ref="U18:V18"/>
    <mergeCell ref="B24:B25"/>
    <mergeCell ref="C21:E21"/>
    <mergeCell ref="O5:Z5"/>
    <mergeCell ref="E25:I26"/>
    <mergeCell ref="C25:D26"/>
  </mergeCells>
  <conditionalFormatting sqref="P7:Y16">
    <cfRule type="cellIs" dxfId="72" priority="1" operator="equal">
      <formula>129</formula>
    </cfRule>
    <cfRule type="cellIs" dxfId="71" priority="2" operator="equal">
      <formula>109</formula>
    </cfRule>
    <cfRule type="cellIs" dxfId="70" priority="3" operator="equal">
      <formula>89</formula>
    </cfRule>
    <cfRule type="cellIs" dxfId="69" priority="4" operator="equal">
      <formula>119</formula>
    </cfRule>
    <cfRule type="cellIs" dxfId="68" priority="5" operator="equal">
      <formula>99</formula>
    </cfRule>
    <cfRule type="cellIs" dxfId="67" priority="6" operator="equal">
      <formula>79</formula>
    </cfRule>
  </conditionalFormatting>
  <pageMargins left="0.25" right="0.25" top="0.75" bottom="0.75" header="0.3" footer="0.3"/>
  <pageSetup paperSize="9" scale="80" orientation="landscape" r:id="rId1"/>
  <ignoredErrors>
    <ignoredError sqref="P7:Y1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4" name="Button 4">
              <controlPr defaultSize="0" print="0" autoFill="0" autoPict="0" macro="[0]!PDFBasileEN">
                <anchor moveWithCells="1" sizeWithCells="1">
                  <from>
                    <xdr:col>13</xdr:col>
                    <xdr:colOff>66675</xdr:colOff>
                    <xdr:row>19</xdr:row>
                    <xdr:rowOff>47625</xdr:rowOff>
                  </from>
                  <to>
                    <xdr:col>18</xdr:col>
                    <xdr:colOff>219075</xdr:colOff>
                    <xdr:row>21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tableParts count="2">
    <tablePart r:id="rId5"/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F8E226C-7CCF-44B3-988B-401B898C0E5F}">
          <x14:formula1>
            <xm:f>'Données Bas'!$C$3:$C$13</xm:f>
          </x14:formula1>
          <xm:sqref>C16:D18</xm:sqref>
        </x14:dataValidation>
        <x14:dataValidation type="list" allowBlank="1" showInputMessage="1" showErrorMessage="1" xr:uid="{BF0E4C44-C047-46C4-8C7E-8192D6A4A264}">
          <x14:formula1>
            <xm:f>'Données Bas'!$B$3:$B$5</xm:f>
          </x14:formula1>
          <xm:sqref>C13:L13</xm:sqref>
        </x14:dataValidation>
        <x14:dataValidation type="list" allowBlank="1" showInputMessage="1" showErrorMessage="1" xr:uid="{AF2CE827-AF1F-4B5B-8A0C-F23CF85520AD}">
          <x14:formula1>
            <xm:f>'Données Bas'!$A$3:$A$6</xm:f>
          </x14:formula1>
          <xm:sqref>C10:L10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80CB-13FF-4C2B-85C6-87C3A9D9801E}">
  <sheetPr codeName="Feuil8"/>
  <dimension ref="B2:AB36"/>
  <sheetViews>
    <sheetView showGridLines="0" showRowColHeaders="0" workbookViewId="0">
      <selection activeCell="C10" sqref="C10"/>
    </sheetView>
  </sheetViews>
  <sheetFormatPr baseColWidth="10" defaultColWidth="11.42578125" defaultRowHeight="15" x14ac:dyDescent="0.25"/>
  <cols>
    <col min="1" max="1" width="5.5703125" style="25" customWidth="1"/>
    <col min="2" max="2" width="39.5703125" style="25" bestFit="1" customWidth="1"/>
    <col min="3" max="12" width="5.7109375" style="25" customWidth="1"/>
    <col min="13" max="26" width="4.5703125" style="25" customWidth="1"/>
    <col min="27" max="27" width="14.140625" style="25" customWidth="1"/>
    <col min="28" max="28" width="14.85546875" style="25" bestFit="1" customWidth="1"/>
    <col min="29" max="16384" width="11.42578125" style="25"/>
  </cols>
  <sheetData>
    <row r="2" spans="2:28" ht="29.25" x14ac:dyDescent="0.35">
      <c r="E2" s="73" t="s">
        <v>115</v>
      </c>
    </row>
    <row r="4" spans="2:28" ht="18" customHeight="1" thickBot="1" x14ac:dyDescent="0.3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2:28" ht="18" customHeight="1" x14ac:dyDescent="0.2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152" t="s">
        <v>126</v>
      </c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4"/>
      <c r="AA5" s="45"/>
      <c r="AB5" s="45"/>
    </row>
    <row r="6" spans="2:28" ht="18" customHeight="1" x14ac:dyDescent="0.25">
      <c r="B6" s="72" t="s">
        <v>116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34"/>
      <c r="P6" s="42"/>
      <c r="Q6" s="42"/>
      <c r="R6" s="42"/>
      <c r="S6" s="42"/>
      <c r="T6" s="42"/>
      <c r="U6" s="42"/>
      <c r="V6" s="42"/>
      <c r="W6" s="42"/>
      <c r="X6" s="42"/>
      <c r="Y6" s="42"/>
      <c r="Z6" s="35"/>
      <c r="AA6" s="45"/>
      <c r="AB6" s="45"/>
    </row>
    <row r="7" spans="2:28" ht="18" customHeight="1" x14ac:dyDescent="0.25">
      <c r="B7" s="71"/>
      <c r="C7" s="45"/>
      <c r="D7" s="45"/>
      <c r="E7" s="46"/>
      <c r="F7" s="45"/>
      <c r="G7" s="45"/>
      <c r="H7" s="45"/>
      <c r="I7" s="45"/>
      <c r="J7" s="45"/>
      <c r="K7" s="45"/>
      <c r="L7" s="45"/>
      <c r="M7" s="45"/>
      <c r="N7" s="45"/>
      <c r="O7" s="41">
        <v>10</v>
      </c>
      <c r="P7" s="36" t="e">
        <f t="shared" ref="P7:Y7" si="0">C10+$L$13</f>
        <v>#VALUE!</v>
      </c>
      <c r="Q7" s="36" t="e">
        <f t="shared" si="0"/>
        <v>#VALUE!</v>
      </c>
      <c r="R7" s="36" t="e">
        <f t="shared" si="0"/>
        <v>#VALUE!</v>
      </c>
      <c r="S7" s="36" t="e">
        <f t="shared" si="0"/>
        <v>#VALUE!</v>
      </c>
      <c r="T7" s="36" t="e">
        <f t="shared" si="0"/>
        <v>#VALUE!</v>
      </c>
      <c r="U7" s="36" t="e">
        <f t="shared" si="0"/>
        <v>#VALUE!</v>
      </c>
      <c r="V7" s="36" t="e">
        <f t="shared" si="0"/>
        <v>#VALUE!</v>
      </c>
      <c r="W7" s="36" t="e">
        <f t="shared" si="0"/>
        <v>#VALUE!</v>
      </c>
      <c r="X7" s="36" t="e">
        <f t="shared" si="0"/>
        <v>#VALUE!</v>
      </c>
      <c r="Y7" s="36" t="e">
        <f t="shared" si="0"/>
        <v>#VALUE!</v>
      </c>
      <c r="Z7" s="35"/>
      <c r="AA7" s="45"/>
      <c r="AB7" s="45"/>
    </row>
    <row r="8" spans="2:28" ht="18" customHeight="1" x14ac:dyDescent="0.25">
      <c r="B8" s="71"/>
      <c r="C8" s="47"/>
      <c r="D8" s="47"/>
      <c r="E8" s="47"/>
      <c r="F8" s="47"/>
      <c r="G8" s="47"/>
      <c r="H8" s="47"/>
      <c r="I8" s="47"/>
      <c r="J8" s="47"/>
      <c r="K8" s="47"/>
      <c r="L8" s="47"/>
      <c r="M8" s="45"/>
      <c r="N8" s="45"/>
      <c r="O8" s="41">
        <v>9</v>
      </c>
      <c r="P8" s="36" t="e">
        <f t="shared" ref="P8:Y8" si="1">C10+$K$13</f>
        <v>#VALUE!</v>
      </c>
      <c r="Q8" s="36" t="e">
        <f t="shared" si="1"/>
        <v>#VALUE!</v>
      </c>
      <c r="R8" s="36" t="e">
        <f t="shared" si="1"/>
        <v>#VALUE!</v>
      </c>
      <c r="S8" s="36" t="e">
        <f t="shared" si="1"/>
        <v>#VALUE!</v>
      </c>
      <c r="T8" s="36" t="e">
        <f t="shared" si="1"/>
        <v>#VALUE!</v>
      </c>
      <c r="U8" s="36" t="e">
        <f t="shared" si="1"/>
        <v>#VALUE!</v>
      </c>
      <c r="V8" s="36" t="e">
        <f t="shared" si="1"/>
        <v>#VALUE!</v>
      </c>
      <c r="W8" s="36" t="e">
        <f t="shared" si="1"/>
        <v>#VALUE!</v>
      </c>
      <c r="X8" s="36" t="e">
        <f t="shared" si="1"/>
        <v>#VALUE!</v>
      </c>
      <c r="Y8" s="36" t="e">
        <f t="shared" si="1"/>
        <v>#VALUE!</v>
      </c>
      <c r="Z8" s="35"/>
      <c r="AA8" s="45"/>
      <c r="AB8" s="45"/>
    </row>
    <row r="9" spans="2:28" ht="18" customHeight="1" x14ac:dyDescent="0.25">
      <c r="B9" s="71" t="s">
        <v>117</v>
      </c>
      <c r="C9" s="37" t="s">
        <v>74</v>
      </c>
      <c r="D9" s="38" t="s">
        <v>75</v>
      </c>
      <c r="E9" s="38" t="s">
        <v>76</v>
      </c>
      <c r="F9" s="38" t="s">
        <v>77</v>
      </c>
      <c r="G9" s="38" t="s">
        <v>78</v>
      </c>
      <c r="H9" s="38" t="s">
        <v>79</v>
      </c>
      <c r="I9" s="38" t="s">
        <v>80</v>
      </c>
      <c r="J9" s="38" t="s">
        <v>81</v>
      </c>
      <c r="K9" s="38" t="s">
        <v>82</v>
      </c>
      <c r="L9" s="39" t="s">
        <v>83</v>
      </c>
      <c r="M9" s="48"/>
      <c r="N9" s="45"/>
      <c r="O9" s="41">
        <v>8</v>
      </c>
      <c r="P9" s="36" t="e">
        <f t="shared" ref="P9:Y9" si="2">C10+$J$13</f>
        <v>#VALUE!</v>
      </c>
      <c r="Q9" s="36" t="e">
        <f t="shared" si="2"/>
        <v>#VALUE!</v>
      </c>
      <c r="R9" s="36" t="e">
        <f t="shared" si="2"/>
        <v>#VALUE!</v>
      </c>
      <c r="S9" s="36" t="e">
        <f t="shared" si="2"/>
        <v>#VALUE!</v>
      </c>
      <c r="T9" s="36" t="e">
        <f t="shared" si="2"/>
        <v>#VALUE!</v>
      </c>
      <c r="U9" s="36" t="e">
        <f t="shared" si="2"/>
        <v>#VALUE!</v>
      </c>
      <c r="V9" s="36" t="e">
        <f t="shared" si="2"/>
        <v>#VALUE!</v>
      </c>
      <c r="W9" s="36" t="e">
        <f t="shared" si="2"/>
        <v>#VALUE!</v>
      </c>
      <c r="X9" s="36" t="e">
        <f t="shared" si="2"/>
        <v>#VALUE!</v>
      </c>
      <c r="Y9" s="36" t="e">
        <f t="shared" si="2"/>
        <v>#VALUE!</v>
      </c>
      <c r="Z9" s="35"/>
      <c r="AA9" s="49"/>
      <c r="AB9" s="49"/>
    </row>
    <row r="10" spans="2:28" ht="18" customHeight="1" x14ac:dyDescent="0.25">
      <c r="B10" s="71" t="s">
        <v>118</v>
      </c>
      <c r="C10" s="40">
        <v>53</v>
      </c>
      <c r="D10" s="40">
        <v>53</v>
      </c>
      <c r="E10" s="40" t="s">
        <v>54</v>
      </c>
      <c r="F10" s="40" t="s">
        <v>54</v>
      </c>
      <c r="G10" s="40" t="s">
        <v>54</v>
      </c>
      <c r="H10" s="40" t="s">
        <v>54</v>
      </c>
      <c r="I10" s="40" t="s">
        <v>54</v>
      </c>
      <c r="J10" s="40" t="s">
        <v>54</v>
      </c>
      <c r="K10" s="40" t="s">
        <v>54</v>
      </c>
      <c r="L10" s="40" t="s">
        <v>54</v>
      </c>
      <c r="M10" s="48"/>
      <c r="N10" s="45"/>
      <c r="O10" s="41">
        <v>7</v>
      </c>
      <c r="P10" s="36" t="e">
        <f t="shared" ref="P10:Y10" si="3">C10+$I$13</f>
        <v>#VALUE!</v>
      </c>
      <c r="Q10" s="36" t="e">
        <f t="shared" si="3"/>
        <v>#VALUE!</v>
      </c>
      <c r="R10" s="36" t="e">
        <f t="shared" si="3"/>
        <v>#VALUE!</v>
      </c>
      <c r="S10" s="36" t="e">
        <f t="shared" si="3"/>
        <v>#VALUE!</v>
      </c>
      <c r="T10" s="36" t="e">
        <f t="shared" si="3"/>
        <v>#VALUE!</v>
      </c>
      <c r="U10" s="36" t="e">
        <f t="shared" si="3"/>
        <v>#VALUE!</v>
      </c>
      <c r="V10" s="36" t="e">
        <f t="shared" si="3"/>
        <v>#VALUE!</v>
      </c>
      <c r="W10" s="36" t="e">
        <f t="shared" si="3"/>
        <v>#VALUE!</v>
      </c>
      <c r="X10" s="36" t="e">
        <f t="shared" si="3"/>
        <v>#VALUE!</v>
      </c>
      <c r="Y10" s="36" t="e">
        <f t="shared" si="3"/>
        <v>#VALUE!</v>
      </c>
      <c r="Z10" s="35"/>
      <c r="AA10" s="45"/>
      <c r="AB10" s="45"/>
    </row>
    <row r="11" spans="2:28" ht="18" customHeight="1" x14ac:dyDescent="0.25">
      <c r="B11" s="71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8"/>
      <c r="N11" s="45"/>
      <c r="O11" s="41">
        <v>6</v>
      </c>
      <c r="P11" s="36" t="e">
        <f t="shared" ref="P11:Y11" si="4">C10+$H$13</f>
        <v>#VALUE!</v>
      </c>
      <c r="Q11" s="36" t="e">
        <f t="shared" si="4"/>
        <v>#VALUE!</v>
      </c>
      <c r="R11" s="36" t="e">
        <f t="shared" si="4"/>
        <v>#VALUE!</v>
      </c>
      <c r="S11" s="36" t="e">
        <f t="shared" si="4"/>
        <v>#VALUE!</v>
      </c>
      <c r="T11" s="36" t="e">
        <f t="shared" si="4"/>
        <v>#VALUE!</v>
      </c>
      <c r="U11" s="36" t="e">
        <f t="shared" si="4"/>
        <v>#VALUE!</v>
      </c>
      <c r="V11" s="36" t="e">
        <f t="shared" si="4"/>
        <v>#VALUE!</v>
      </c>
      <c r="W11" s="36" t="e">
        <f t="shared" si="4"/>
        <v>#VALUE!</v>
      </c>
      <c r="X11" s="36" t="e">
        <f t="shared" si="4"/>
        <v>#VALUE!</v>
      </c>
      <c r="Y11" s="36" t="e">
        <f t="shared" si="4"/>
        <v>#VALUE!</v>
      </c>
      <c r="Z11" s="35"/>
      <c r="AA11" s="45"/>
      <c r="AB11" s="45"/>
    </row>
    <row r="12" spans="2:28" ht="18" customHeight="1" x14ac:dyDescent="0.25">
      <c r="B12" s="71" t="s">
        <v>119</v>
      </c>
      <c r="C12" s="37" t="s">
        <v>74</v>
      </c>
      <c r="D12" s="38" t="s">
        <v>75</v>
      </c>
      <c r="E12" s="38" t="s">
        <v>76</v>
      </c>
      <c r="F12" s="38" t="s">
        <v>77</v>
      </c>
      <c r="G12" s="38" t="s">
        <v>78</v>
      </c>
      <c r="H12" s="38" t="s">
        <v>79</v>
      </c>
      <c r="I12" s="38" t="s">
        <v>80</v>
      </c>
      <c r="J12" s="38" t="s">
        <v>81</v>
      </c>
      <c r="K12" s="38" t="s">
        <v>82</v>
      </c>
      <c r="L12" s="39" t="s">
        <v>83</v>
      </c>
      <c r="M12" s="48"/>
      <c r="N12" s="45"/>
      <c r="O12" s="41">
        <v>5</v>
      </c>
      <c r="P12" s="36" t="e">
        <f t="shared" ref="P12:Y12" si="5">C10+$G$13</f>
        <v>#VALUE!</v>
      </c>
      <c r="Q12" s="36" t="e">
        <f t="shared" si="5"/>
        <v>#VALUE!</v>
      </c>
      <c r="R12" s="36" t="e">
        <f t="shared" si="5"/>
        <v>#VALUE!</v>
      </c>
      <c r="S12" s="36" t="e">
        <f t="shared" si="5"/>
        <v>#VALUE!</v>
      </c>
      <c r="T12" s="36" t="e">
        <f t="shared" si="5"/>
        <v>#VALUE!</v>
      </c>
      <c r="U12" s="36" t="e">
        <f t="shared" si="5"/>
        <v>#VALUE!</v>
      </c>
      <c r="V12" s="36" t="e">
        <f t="shared" si="5"/>
        <v>#VALUE!</v>
      </c>
      <c r="W12" s="36" t="e">
        <f t="shared" si="5"/>
        <v>#VALUE!</v>
      </c>
      <c r="X12" s="36" t="e">
        <f t="shared" si="5"/>
        <v>#VALUE!</v>
      </c>
      <c r="Y12" s="36" t="e">
        <f t="shared" si="5"/>
        <v>#VALUE!</v>
      </c>
      <c r="Z12" s="35"/>
      <c r="AA12" s="45"/>
      <c r="AB12" s="45"/>
    </row>
    <row r="13" spans="2:28" ht="18" customHeight="1" x14ac:dyDescent="0.25">
      <c r="B13" s="71" t="s">
        <v>120</v>
      </c>
      <c r="C13" s="40">
        <v>36</v>
      </c>
      <c r="D13" s="40">
        <v>26</v>
      </c>
      <c r="E13" s="40">
        <v>26</v>
      </c>
      <c r="F13" s="40" t="s">
        <v>54</v>
      </c>
      <c r="G13" s="40" t="s">
        <v>54</v>
      </c>
      <c r="H13" s="40" t="s">
        <v>54</v>
      </c>
      <c r="I13" s="40" t="s">
        <v>54</v>
      </c>
      <c r="J13" s="40" t="s">
        <v>54</v>
      </c>
      <c r="K13" s="40" t="s">
        <v>54</v>
      </c>
      <c r="L13" s="40" t="s">
        <v>54</v>
      </c>
      <c r="M13" s="48"/>
      <c r="N13" s="45"/>
      <c r="O13" s="41">
        <v>4</v>
      </c>
      <c r="P13" s="36" t="e">
        <f t="shared" ref="P13:Y13" si="6">C10+$F$13</f>
        <v>#VALUE!</v>
      </c>
      <c r="Q13" s="36" t="e">
        <f t="shared" si="6"/>
        <v>#VALUE!</v>
      </c>
      <c r="R13" s="36" t="e">
        <f t="shared" si="6"/>
        <v>#VALUE!</v>
      </c>
      <c r="S13" s="36" t="e">
        <f t="shared" si="6"/>
        <v>#VALUE!</v>
      </c>
      <c r="T13" s="36" t="e">
        <f t="shared" si="6"/>
        <v>#VALUE!</v>
      </c>
      <c r="U13" s="36" t="e">
        <f t="shared" si="6"/>
        <v>#VALUE!</v>
      </c>
      <c r="V13" s="36" t="e">
        <f t="shared" si="6"/>
        <v>#VALUE!</v>
      </c>
      <c r="W13" s="36" t="e">
        <f t="shared" si="6"/>
        <v>#VALUE!</v>
      </c>
      <c r="X13" s="36" t="e">
        <f t="shared" si="6"/>
        <v>#VALUE!</v>
      </c>
      <c r="Y13" s="36" t="e">
        <f t="shared" si="6"/>
        <v>#VALUE!</v>
      </c>
      <c r="Z13" s="35"/>
      <c r="AA13" s="45"/>
      <c r="AB13" s="45"/>
    </row>
    <row r="14" spans="2:28" ht="18" customHeight="1" x14ac:dyDescent="0.25">
      <c r="B14" s="71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8"/>
      <c r="N14" s="45"/>
      <c r="O14" s="41">
        <v>3</v>
      </c>
      <c r="P14" s="36">
        <f t="shared" ref="P14:Y14" si="7">C10+$E$13</f>
        <v>79</v>
      </c>
      <c r="Q14" s="36">
        <f t="shared" si="7"/>
        <v>79</v>
      </c>
      <c r="R14" s="36" t="e">
        <f t="shared" si="7"/>
        <v>#VALUE!</v>
      </c>
      <c r="S14" s="36" t="e">
        <f t="shared" si="7"/>
        <v>#VALUE!</v>
      </c>
      <c r="T14" s="36" t="e">
        <f t="shared" si="7"/>
        <v>#VALUE!</v>
      </c>
      <c r="U14" s="36" t="e">
        <f t="shared" si="7"/>
        <v>#VALUE!</v>
      </c>
      <c r="V14" s="36" t="e">
        <f t="shared" si="7"/>
        <v>#VALUE!</v>
      </c>
      <c r="W14" s="36" t="e">
        <f t="shared" si="7"/>
        <v>#VALUE!</v>
      </c>
      <c r="X14" s="36" t="e">
        <f t="shared" si="7"/>
        <v>#VALUE!</v>
      </c>
      <c r="Y14" s="36" t="e">
        <f t="shared" si="7"/>
        <v>#VALUE!</v>
      </c>
      <c r="Z14" s="35"/>
      <c r="AA14" s="45"/>
      <c r="AB14" s="45"/>
    </row>
    <row r="15" spans="2:28" ht="18" customHeight="1" x14ac:dyDescent="0.25">
      <c r="B15" s="115" t="s">
        <v>166</v>
      </c>
      <c r="C15" s="93">
        <v>26</v>
      </c>
      <c r="D15" s="93">
        <v>36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1">
        <v>2</v>
      </c>
      <c r="P15" s="36">
        <f t="shared" ref="P15:Y15" si="8">C10+$D$13</f>
        <v>79</v>
      </c>
      <c r="Q15" s="36">
        <f t="shared" si="8"/>
        <v>79</v>
      </c>
      <c r="R15" s="36" t="e">
        <f t="shared" si="8"/>
        <v>#VALUE!</v>
      </c>
      <c r="S15" s="36" t="e">
        <f t="shared" si="8"/>
        <v>#VALUE!</v>
      </c>
      <c r="T15" s="36" t="e">
        <f t="shared" si="8"/>
        <v>#VALUE!</v>
      </c>
      <c r="U15" s="36" t="e">
        <f t="shared" si="8"/>
        <v>#VALUE!</v>
      </c>
      <c r="V15" s="36" t="e">
        <f t="shared" si="8"/>
        <v>#VALUE!</v>
      </c>
      <c r="W15" s="36" t="e">
        <f t="shared" si="8"/>
        <v>#VALUE!</v>
      </c>
      <c r="X15" s="36" t="e">
        <f t="shared" si="8"/>
        <v>#VALUE!</v>
      </c>
      <c r="Y15" s="36" t="e">
        <f t="shared" si="8"/>
        <v>#VALUE!</v>
      </c>
      <c r="Z15" s="35"/>
      <c r="AA15" s="45"/>
      <c r="AB15" s="45"/>
    </row>
    <row r="16" spans="2:28" ht="18" customHeight="1" x14ac:dyDescent="0.25">
      <c r="B16" s="71" t="s">
        <v>121</v>
      </c>
      <c r="C16" s="56">
        <v>0</v>
      </c>
      <c r="D16" s="56">
        <v>0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1">
        <v>1</v>
      </c>
      <c r="P16" s="36">
        <f t="shared" ref="P16:Y16" si="9">C10+$C$13</f>
        <v>89</v>
      </c>
      <c r="Q16" s="36">
        <f t="shared" si="9"/>
        <v>89</v>
      </c>
      <c r="R16" s="36" t="e">
        <f t="shared" si="9"/>
        <v>#VALUE!</v>
      </c>
      <c r="S16" s="36" t="e">
        <f t="shared" si="9"/>
        <v>#VALUE!</v>
      </c>
      <c r="T16" s="36" t="e">
        <f t="shared" si="9"/>
        <v>#VALUE!</v>
      </c>
      <c r="U16" s="36" t="e">
        <f t="shared" si="9"/>
        <v>#VALUE!</v>
      </c>
      <c r="V16" s="36" t="e">
        <f t="shared" si="9"/>
        <v>#VALUE!</v>
      </c>
      <c r="W16" s="36" t="e">
        <f t="shared" si="9"/>
        <v>#VALUE!</v>
      </c>
      <c r="X16" s="36" t="e">
        <f t="shared" si="9"/>
        <v>#VALUE!</v>
      </c>
      <c r="Y16" s="36" t="e">
        <f t="shared" si="9"/>
        <v>#VALUE!</v>
      </c>
      <c r="Z16" s="35"/>
      <c r="AA16" s="45"/>
      <c r="AB16" s="45"/>
    </row>
    <row r="17" spans="2:28" ht="18" customHeight="1" x14ac:dyDescent="0.25">
      <c r="B17" s="71" t="s">
        <v>122</v>
      </c>
      <c r="C17" s="56">
        <v>0</v>
      </c>
      <c r="D17" s="56">
        <v>0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34"/>
      <c r="P17" s="43">
        <v>1</v>
      </c>
      <c r="Q17" s="43">
        <v>2</v>
      </c>
      <c r="R17" s="43">
        <v>3</v>
      </c>
      <c r="S17" s="43">
        <v>4</v>
      </c>
      <c r="T17" s="43">
        <v>5</v>
      </c>
      <c r="U17" s="43">
        <v>6</v>
      </c>
      <c r="V17" s="43">
        <v>7</v>
      </c>
      <c r="W17" s="43">
        <v>8</v>
      </c>
      <c r="X17" s="43">
        <v>9</v>
      </c>
      <c r="Y17" s="43">
        <v>10</v>
      </c>
      <c r="Z17" s="35"/>
      <c r="AA17" s="45"/>
      <c r="AB17" s="45"/>
    </row>
    <row r="18" spans="2:28" ht="18" customHeight="1" thickBot="1" x14ac:dyDescent="0.3">
      <c r="B18" s="71" t="s">
        <v>123</v>
      </c>
      <c r="C18" s="56">
        <v>0</v>
      </c>
      <c r="D18" s="56">
        <v>1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64" t="s">
        <v>127</v>
      </c>
      <c r="P18" s="65"/>
      <c r="Q18" s="169">
        <f>6+(26*'Données Bas'!B17)+(36*'Données Bas'!B18)+(SUM('Données Bas'!B17:B18)*1.8)+1.8</f>
        <v>101.2</v>
      </c>
      <c r="R18" s="170"/>
      <c r="S18" s="66" t="s">
        <v>128</v>
      </c>
      <c r="T18" s="65"/>
      <c r="U18" s="171">
        <f>3+53*'Données Bas'!B20+73*'Données Bas'!B21+93*'Données Bas'!B22+(SUM('Données Bas'!B20:B22)*2.5)+0.5</f>
        <v>114.5</v>
      </c>
      <c r="V18" s="172"/>
      <c r="W18" s="66" t="s">
        <v>129</v>
      </c>
      <c r="X18" s="67"/>
      <c r="Y18" s="67"/>
      <c r="Z18" s="68">
        <v>40</v>
      </c>
      <c r="AA18" s="45"/>
      <c r="AB18" s="45"/>
    </row>
    <row r="19" spans="2:28" ht="18" customHeight="1" x14ac:dyDescent="0.25">
      <c r="B19" s="71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</row>
    <row r="20" spans="2:28" ht="18" customHeight="1" x14ac:dyDescent="0.25">
      <c r="B20" s="71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2:28" ht="18" customHeight="1" x14ac:dyDescent="0.25">
      <c r="B21" s="71" t="s">
        <v>124</v>
      </c>
      <c r="C21" s="173">
        <f>'Données Bas'!J32</f>
        <v>944</v>
      </c>
      <c r="D21" s="173"/>
      <c r="E21" s="173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2:28" ht="18" customHeight="1" x14ac:dyDescent="0.25">
      <c r="B22" s="71"/>
      <c r="C22" s="45"/>
      <c r="D22" s="45"/>
      <c r="E22" s="5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2:28" ht="18" customHeight="1" thickBot="1" x14ac:dyDescent="0.3">
      <c r="B23" s="71"/>
      <c r="C23" s="45"/>
      <c r="D23" s="45"/>
      <c r="E23" s="5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2:28" ht="18" customHeight="1" thickBot="1" x14ac:dyDescent="0.3">
      <c r="B24" s="151" t="s">
        <v>125</v>
      </c>
      <c r="C24" s="121" t="s">
        <v>92</v>
      </c>
      <c r="D24" s="125" t="str">
        <f>IF('Données Bas'!H20=0,"",'Données Bas'!H20&amp;"x53-")</f>
        <v>2x53-</v>
      </c>
      <c r="E24" s="125" t="str">
        <f>IF('Données Bas'!H21=0,"",'Données Bas'!H21&amp;"x73-")</f>
        <v/>
      </c>
      <c r="F24" s="125" t="str">
        <f>IF('Données Bas'!H22=0,"",'Données Bas'!H22&amp;"x93-")</f>
        <v/>
      </c>
      <c r="G24" s="125" t="str">
        <f>IF('Données Bas'!H17=0,"",'Données Bas'!H17&amp;"x26-")</f>
        <v>2x26-</v>
      </c>
      <c r="H24" s="125" t="str">
        <f>IF('Données Bas'!H18=0,"",'Données Bas'!H18&amp;"x36")</f>
        <v>1x36</v>
      </c>
      <c r="I24" s="126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2:28" ht="18" customHeight="1" x14ac:dyDescent="0.25">
      <c r="B25" s="151"/>
      <c r="C25" s="178" t="s">
        <v>93</v>
      </c>
      <c r="D25" s="179"/>
      <c r="E25" s="174" t="str">
        <f>IF(C16=0,"",C16&amp;"x26x53-")&amp;IF(C17=0,"",C17&amp;"x26x73-")&amp;IF(C18=0,"",C18&amp;"x26x93-")&amp;IF(D16=0,"",D16&amp;"x36x53-")&amp;IF(D17=0,"",D17&amp;"x36x73-")&amp;IF(D18=0,"",D18&amp;"x36x93")</f>
        <v>1x36x93</v>
      </c>
      <c r="F25" s="174"/>
      <c r="G25" s="174"/>
      <c r="H25" s="174"/>
      <c r="I25" s="17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</row>
    <row r="26" spans="2:28" ht="18" customHeight="1" thickBot="1" x14ac:dyDescent="0.3">
      <c r="B26" s="45"/>
      <c r="C26" s="180"/>
      <c r="D26" s="181"/>
      <c r="E26" s="176"/>
      <c r="F26" s="176"/>
      <c r="G26" s="176"/>
      <c r="H26" s="176"/>
      <c r="I26" s="177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</row>
    <row r="27" spans="2:28" ht="18" customHeight="1" x14ac:dyDescent="0.25"/>
    <row r="28" spans="2:28" ht="18" customHeight="1" x14ac:dyDescent="0.25"/>
    <row r="29" spans="2:28" ht="18" customHeight="1" x14ac:dyDescent="0.25"/>
    <row r="30" spans="2:28" ht="18" customHeight="1" x14ac:dyDescent="0.25"/>
    <row r="31" spans="2:28" ht="18" customHeight="1" x14ac:dyDescent="0.25"/>
    <row r="32" spans="2:28" ht="18" customHeight="1" x14ac:dyDescent="0.25">
      <c r="B32" s="69"/>
    </row>
    <row r="33" spans="2:2" ht="18" customHeight="1" x14ac:dyDescent="0.25"/>
    <row r="34" spans="2:2" ht="18" customHeight="1" x14ac:dyDescent="0.25">
      <c r="B34" s="69"/>
    </row>
    <row r="35" spans="2:2" ht="18" customHeight="1" x14ac:dyDescent="0.25">
      <c r="B35" s="69"/>
    </row>
    <row r="36" spans="2:2" ht="18" customHeight="1" x14ac:dyDescent="0.25">
      <c r="B36" s="69"/>
    </row>
  </sheetData>
  <sheetProtection sheet="1" objects="1" scenarios="1" selectLockedCells="1"/>
  <protectedRanges>
    <protectedRange sqref="C10:L10 C13:L13 C16:D18" name="Plage1"/>
  </protectedRanges>
  <mergeCells count="7">
    <mergeCell ref="O5:Z5"/>
    <mergeCell ref="Q18:R18"/>
    <mergeCell ref="U18:V18"/>
    <mergeCell ref="C21:E21"/>
    <mergeCell ref="B24:B25"/>
    <mergeCell ref="E25:I26"/>
    <mergeCell ref="C25:D26"/>
  </mergeCells>
  <conditionalFormatting sqref="P7:Y16">
    <cfRule type="cellIs" dxfId="36" priority="1" operator="equal">
      <formula>129</formula>
    </cfRule>
    <cfRule type="cellIs" dxfId="35" priority="2" operator="equal">
      <formula>109</formula>
    </cfRule>
    <cfRule type="cellIs" dxfId="34" priority="3" operator="equal">
      <formula>89</formula>
    </cfRule>
    <cfRule type="cellIs" dxfId="33" priority="4" operator="equal">
      <formula>119</formula>
    </cfRule>
    <cfRule type="cellIs" dxfId="32" priority="5" operator="equal">
      <formula>99</formula>
    </cfRule>
    <cfRule type="cellIs" dxfId="31" priority="6" operator="equal">
      <formula>79</formula>
    </cfRule>
  </conditionalFormatting>
  <pageMargins left="0.25" right="0.25" top="0.75" bottom="0.75" header="0.3" footer="0.3"/>
  <pageSetup paperSize="9" scale="80" orientation="landscape" r:id="rId1"/>
  <ignoredErrors>
    <ignoredError sqref="P7:Y1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7" r:id="rId4" name="Button 5">
              <controlPr defaultSize="0" print="0" autoFill="0" autoPict="0" macro="[0]!PDFBasileND">
                <anchor moveWithCells="1" sizeWithCells="1">
                  <from>
                    <xdr:col>13</xdr:col>
                    <xdr:colOff>47625</xdr:colOff>
                    <xdr:row>19</xdr:row>
                    <xdr:rowOff>28575</xdr:rowOff>
                  </from>
                  <to>
                    <xdr:col>18</xdr:col>
                    <xdr:colOff>266700</xdr:colOff>
                    <xdr:row>21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tableParts count="2">
    <tablePart r:id="rId5"/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550FE6-E181-45E8-9759-C2D3E0FF6BD7}">
          <x14:formula1>
            <xm:f>'Données Bas'!$A$3:$A$6</xm:f>
          </x14:formula1>
          <xm:sqref>C10:L10</xm:sqref>
        </x14:dataValidation>
        <x14:dataValidation type="list" allowBlank="1" showInputMessage="1" showErrorMessage="1" xr:uid="{4AD4DFD1-41F5-43A6-B05D-AB9776B4C51F}">
          <x14:formula1>
            <xm:f>'Données Bas'!$B$3:$B$5</xm:f>
          </x14:formula1>
          <xm:sqref>C13:L13</xm:sqref>
        </x14:dataValidation>
        <x14:dataValidation type="list" allowBlank="1" showInputMessage="1" showErrorMessage="1" xr:uid="{21CD2A5E-1664-44AA-BF64-CB51FB0B3840}">
          <x14:formula1>
            <xm:f>'Données Bas'!$C$3:$C$13</xm:f>
          </x14:formula1>
          <xm:sqref>C16:D18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E1C40-D157-4A54-8D3F-ACA601B83007}">
  <sheetPr codeName="Feuil9"/>
  <dimension ref="A2:J34"/>
  <sheetViews>
    <sheetView workbookViewId="0">
      <selection activeCell="D5" sqref="D5"/>
    </sheetView>
  </sheetViews>
  <sheetFormatPr baseColWidth="10" defaultRowHeight="15" x14ac:dyDescent="0.25"/>
  <cols>
    <col min="1" max="1" width="36.28515625" bestFit="1" customWidth="1"/>
    <col min="2" max="2" width="16.28515625" customWidth="1"/>
    <col min="3" max="3" width="17.42578125" bestFit="1" customWidth="1"/>
    <col min="4" max="4" width="16.140625" bestFit="1" customWidth="1"/>
    <col min="7" max="7" width="16.140625" bestFit="1" customWidth="1"/>
    <col min="10" max="10" width="16.140625" bestFit="1" customWidth="1"/>
  </cols>
  <sheetData>
    <row r="2" spans="1:10" x14ac:dyDescent="0.25">
      <c r="A2" t="s">
        <v>51</v>
      </c>
      <c r="B2" t="s">
        <v>52</v>
      </c>
      <c r="C2" t="s">
        <v>53</v>
      </c>
    </row>
    <row r="3" spans="1:10" x14ac:dyDescent="0.25">
      <c r="A3" t="s">
        <v>54</v>
      </c>
      <c r="B3" s="10" t="s">
        <v>54</v>
      </c>
      <c r="C3">
        <v>0</v>
      </c>
    </row>
    <row r="4" spans="1:10" x14ac:dyDescent="0.25">
      <c r="A4">
        <v>53</v>
      </c>
      <c r="B4" s="10">
        <v>26</v>
      </c>
      <c r="C4">
        <v>1</v>
      </c>
    </row>
    <row r="5" spans="1:10" x14ac:dyDescent="0.25">
      <c r="A5">
        <v>73</v>
      </c>
      <c r="B5" s="10">
        <v>36</v>
      </c>
      <c r="C5">
        <v>2</v>
      </c>
    </row>
    <row r="6" spans="1:10" x14ac:dyDescent="0.25">
      <c r="A6">
        <v>93</v>
      </c>
      <c r="C6">
        <v>3</v>
      </c>
    </row>
    <row r="7" spans="1:10" x14ac:dyDescent="0.25">
      <c r="C7">
        <v>4</v>
      </c>
    </row>
    <row r="8" spans="1:10" x14ac:dyDescent="0.25">
      <c r="C8">
        <v>5</v>
      </c>
    </row>
    <row r="9" spans="1:10" x14ac:dyDescent="0.25">
      <c r="C9">
        <v>6</v>
      </c>
    </row>
    <row r="10" spans="1:10" x14ac:dyDescent="0.25">
      <c r="C10">
        <v>7</v>
      </c>
    </row>
    <row r="11" spans="1:10" x14ac:dyDescent="0.25">
      <c r="C11">
        <v>8</v>
      </c>
    </row>
    <row r="12" spans="1:10" x14ac:dyDescent="0.25">
      <c r="C12">
        <v>9</v>
      </c>
    </row>
    <row r="13" spans="1:10" ht="15.75" thickBot="1" x14ac:dyDescent="0.3">
      <c r="C13">
        <v>10</v>
      </c>
    </row>
    <row r="14" spans="1:10" ht="19.5" thickBot="1" x14ac:dyDescent="0.35">
      <c r="B14" s="184" t="s">
        <v>163</v>
      </c>
      <c r="C14" s="185"/>
      <c r="D14" s="186"/>
      <c r="E14" s="187" t="s">
        <v>164</v>
      </c>
      <c r="F14" s="188"/>
      <c r="G14" s="189"/>
      <c r="H14" s="190" t="s">
        <v>165</v>
      </c>
      <c r="I14" s="191"/>
      <c r="J14" s="192"/>
    </row>
    <row r="15" spans="1:10" ht="19.5" thickBot="1" x14ac:dyDescent="0.35">
      <c r="B15" s="103" t="s">
        <v>55</v>
      </c>
      <c r="C15" s="103" t="s">
        <v>56</v>
      </c>
      <c r="D15" s="103" t="s">
        <v>57</v>
      </c>
      <c r="E15" s="103" t="s">
        <v>55</v>
      </c>
      <c r="F15" s="103" t="s">
        <v>56</v>
      </c>
      <c r="G15" s="103" t="s">
        <v>57</v>
      </c>
      <c r="H15" s="103" t="s">
        <v>55</v>
      </c>
      <c r="I15" s="103" t="s">
        <v>56</v>
      </c>
      <c r="J15" s="103" t="s">
        <v>57</v>
      </c>
    </row>
    <row r="16" spans="1:10" ht="15.75" thickBot="1" x14ac:dyDescent="0.3">
      <c r="B16" s="98"/>
      <c r="D16" s="99"/>
      <c r="E16" s="98"/>
      <c r="G16" s="99"/>
      <c r="H16" s="98"/>
      <c r="J16" s="99"/>
    </row>
    <row r="17" spans="1:10" ht="18.75" x14ac:dyDescent="0.3">
      <c r="A17" s="104" t="s">
        <v>58</v>
      </c>
      <c r="B17" s="105">
        <f>COUNTIF(Tableau2[],26)</f>
        <v>2</v>
      </c>
      <c r="C17" s="106">
        <v>26</v>
      </c>
      <c r="D17" s="107">
        <f>B17*C17</f>
        <v>52</v>
      </c>
      <c r="E17" s="105">
        <f>COUNTIF(Tableau25[],26)</f>
        <v>2</v>
      </c>
      <c r="F17" s="106">
        <v>26</v>
      </c>
      <c r="G17" s="107">
        <f>E17*F17</f>
        <v>52</v>
      </c>
      <c r="H17" s="105">
        <f>COUNTIF(Tableau257[],26)</f>
        <v>2</v>
      </c>
      <c r="I17" s="106">
        <v>26</v>
      </c>
      <c r="J17" s="107">
        <f>H17*I17</f>
        <v>52</v>
      </c>
    </row>
    <row r="18" spans="1:10" ht="19.5" thickBot="1" x14ac:dyDescent="0.35">
      <c r="A18" s="108" t="s">
        <v>59</v>
      </c>
      <c r="B18" s="109">
        <f>COUNTIF(Tableau2[],36)</f>
        <v>1</v>
      </c>
      <c r="C18" s="110">
        <v>26</v>
      </c>
      <c r="D18" s="111">
        <f>B18*C18</f>
        <v>26</v>
      </c>
      <c r="E18" s="109">
        <f>COUNTIF(Tableau25[],36)</f>
        <v>1</v>
      </c>
      <c r="F18" s="110">
        <v>26</v>
      </c>
      <c r="G18" s="111">
        <f>E18*F18</f>
        <v>26</v>
      </c>
      <c r="H18" s="109">
        <f>COUNTIF(Tableau257[],36)</f>
        <v>1</v>
      </c>
      <c r="I18" s="110">
        <v>26</v>
      </c>
      <c r="J18" s="111">
        <f>H18*I18</f>
        <v>26</v>
      </c>
    </row>
    <row r="19" spans="1:10" ht="19.5" thickBot="1" x14ac:dyDescent="0.35">
      <c r="A19" s="1"/>
      <c r="B19" s="100"/>
      <c r="C19" s="96"/>
      <c r="D19" s="102"/>
      <c r="E19" s="100"/>
      <c r="F19" s="96"/>
      <c r="G19" s="102"/>
      <c r="H19" s="100"/>
      <c r="I19" s="96"/>
      <c r="J19" s="102"/>
    </row>
    <row r="20" spans="1:10" ht="18.75" x14ac:dyDescent="0.3">
      <c r="A20" s="104" t="s">
        <v>60</v>
      </c>
      <c r="B20" s="105">
        <f>COUNTIF(Tableau1[],53)</f>
        <v>2</v>
      </c>
      <c r="C20" s="106">
        <v>70</v>
      </c>
      <c r="D20" s="107">
        <f>B20*C20</f>
        <v>140</v>
      </c>
      <c r="E20" s="105">
        <f>COUNTIF(Tableau14[],53)</f>
        <v>2</v>
      </c>
      <c r="F20" s="106">
        <v>70</v>
      </c>
      <c r="G20" s="107">
        <f>E20*F20</f>
        <v>140</v>
      </c>
      <c r="H20" s="105">
        <f>COUNTIF(Tableau146[],53)</f>
        <v>2</v>
      </c>
      <c r="I20" s="106">
        <v>70</v>
      </c>
      <c r="J20" s="107">
        <f>H20*I20</f>
        <v>140</v>
      </c>
    </row>
    <row r="21" spans="1:10" ht="18.75" x14ac:dyDescent="0.3">
      <c r="A21" s="112" t="s">
        <v>61</v>
      </c>
      <c r="B21" s="100">
        <f>COUNTIF(Tableau1[],73)</f>
        <v>0</v>
      </c>
      <c r="C21" s="96">
        <v>79</v>
      </c>
      <c r="D21" s="101">
        <f>B21*C21</f>
        <v>0</v>
      </c>
      <c r="E21" s="100">
        <f>COUNTIF(Tableau14[],73)</f>
        <v>0</v>
      </c>
      <c r="F21" s="96">
        <v>79</v>
      </c>
      <c r="G21" s="101">
        <f>E21*F21</f>
        <v>0</v>
      </c>
      <c r="H21" s="100">
        <f>COUNTIF(Tableau146[],73)</f>
        <v>0</v>
      </c>
      <c r="I21" s="96">
        <v>79</v>
      </c>
      <c r="J21" s="101">
        <f>H21*I21</f>
        <v>0</v>
      </c>
    </row>
    <row r="22" spans="1:10" ht="19.5" thickBot="1" x14ac:dyDescent="0.35">
      <c r="A22" s="108" t="s">
        <v>62</v>
      </c>
      <c r="B22" s="109">
        <f>COUNTIF(Tableau1[],93)</f>
        <v>0</v>
      </c>
      <c r="C22" s="110">
        <v>88</v>
      </c>
      <c r="D22" s="111">
        <f>B22*C22</f>
        <v>0</v>
      </c>
      <c r="E22" s="109">
        <f>COUNTIF(Tableau14[],93)</f>
        <v>0</v>
      </c>
      <c r="F22" s="110">
        <v>88</v>
      </c>
      <c r="G22" s="111">
        <f>E22*F22</f>
        <v>0</v>
      </c>
      <c r="H22" s="109">
        <f>COUNTIF(Tableau146[],93)</f>
        <v>0</v>
      </c>
      <c r="I22" s="110">
        <v>88</v>
      </c>
      <c r="J22" s="111">
        <f>H22*I22</f>
        <v>0</v>
      </c>
    </row>
    <row r="23" spans="1:10" ht="19.5" thickBot="1" x14ac:dyDescent="0.35">
      <c r="A23" s="1"/>
      <c r="B23" s="100"/>
      <c r="C23" s="96"/>
      <c r="D23" s="102"/>
      <c r="E23" s="100"/>
      <c r="F23" s="96"/>
      <c r="G23" s="102"/>
      <c r="H23" s="100"/>
      <c r="I23" s="96"/>
      <c r="J23" s="102"/>
    </row>
    <row r="24" spans="1:10" ht="18.75" x14ac:dyDescent="0.3">
      <c r="A24" s="104" t="s">
        <v>63</v>
      </c>
      <c r="B24" s="105">
        <f>B17*B20+B18*B20</f>
        <v>6</v>
      </c>
      <c r="C24" s="106">
        <v>80</v>
      </c>
      <c r="D24" s="107">
        <f>B24*C24</f>
        <v>480</v>
      </c>
      <c r="E24" s="105">
        <f>E17*E20+E18*E20</f>
        <v>6</v>
      </c>
      <c r="F24" s="106">
        <v>80</v>
      </c>
      <c r="G24" s="107">
        <f>E24*F24</f>
        <v>480</v>
      </c>
      <c r="H24" s="105">
        <f>H17*H20+H18*H20</f>
        <v>6</v>
      </c>
      <c r="I24" s="106">
        <v>80</v>
      </c>
      <c r="J24" s="107">
        <f>H24*I24</f>
        <v>480</v>
      </c>
    </row>
    <row r="25" spans="1:10" ht="18.75" x14ac:dyDescent="0.3">
      <c r="A25" s="112" t="s">
        <v>64</v>
      </c>
      <c r="B25" s="100">
        <f>B17*B21+B18*B21</f>
        <v>0</v>
      </c>
      <c r="C25" s="96">
        <v>87</v>
      </c>
      <c r="D25" s="101">
        <f>B25*C25</f>
        <v>0</v>
      </c>
      <c r="E25" s="100">
        <f>E17*E21+E18*E21</f>
        <v>0</v>
      </c>
      <c r="F25" s="96">
        <v>87</v>
      </c>
      <c r="G25" s="101">
        <f>E25*F25</f>
        <v>0</v>
      </c>
      <c r="H25" s="100">
        <f>H17*H21+H18*H21</f>
        <v>0</v>
      </c>
      <c r="I25" s="96">
        <v>87</v>
      </c>
      <c r="J25" s="101">
        <f>H25*I25</f>
        <v>0</v>
      </c>
    </row>
    <row r="26" spans="1:10" ht="19.5" thickBot="1" x14ac:dyDescent="0.35">
      <c r="A26" s="108" t="s">
        <v>65</v>
      </c>
      <c r="B26" s="109">
        <f>B17*B22+B18*B22</f>
        <v>0</v>
      </c>
      <c r="C26" s="110">
        <v>95</v>
      </c>
      <c r="D26" s="111">
        <f>B26*C26</f>
        <v>0</v>
      </c>
      <c r="E26" s="109">
        <f>E17*E22+E18*E22</f>
        <v>0</v>
      </c>
      <c r="F26" s="110">
        <v>95</v>
      </c>
      <c r="G26" s="111">
        <f>E26*F26</f>
        <v>0</v>
      </c>
      <c r="H26" s="109">
        <f>H17*H22+H18*H22</f>
        <v>0</v>
      </c>
      <c r="I26" s="110">
        <v>95</v>
      </c>
      <c r="J26" s="111">
        <f>H26*I26</f>
        <v>0</v>
      </c>
    </row>
    <row r="27" spans="1:10" ht="19.5" thickBot="1" x14ac:dyDescent="0.35">
      <c r="A27" s="1"/>
      <c r="B27" s="100"/>
      <c r="C27" s="96"/>
      <c r="D27" s="102"/>
      <c r="E27" s="100"/>
      <c r="F27" s="96"/>
      <c r="G27" s="102"/>
      <c r="H27" s="100"/>
      <c r="I27" s="96"/>
      <c r="J27" s="102"/>
    </row>
    <row r="28" spans="1:10" ht="18.75" x14ac:dyDescent="0.3">
      <c r="A28" s="104" t="s">
        <v>66</v>
      </c>
      <c r="B28" s="105">
        <f>'Calcu Bas Fr'!C16+'Calcu Bas Fr'!D16</f>
        <v>0</v>
      </c>
      <c r="C28" s="106">
        <v>218</v>
      </c>
      <c r="D28" s="107">
        <f>B28*C28</f>
        <v>0</v>
      </c>
      <c r="E28" s="105">
        <f>'Calcu Bas EN'!C16+'Calcu Bas EN'!D16</f>
        <v>0</v>
      </c>
      <c r="F28" s="106">
        <v>218</v>
      </c>
      <c r="G28" s="116">
        <f>E28*F28</f>
        <v>0</v>
      </c>
      <c r="H28" s="105">
        <f>'Calcu Bas ND'!C16+'Calcu Bas ND'!D16</f>
        <v>0</v>
      </c>
      <c r="I28" s="106">
        <v>218</v>
      </c>
      <c r="J28" s="107">
        <f>H28*I28</f>
        <v>0</v>
      </c>
    </row>
    <row r="29" spans="1:10" ht="18.75" x14ac:dyDescent="0.3">
      <c r="A29" s="112" t="s">
        <v>67</v>
      </c>
      <c r="B29" s="100">
        <f>'Calcu Bas Fr'!C17+'Calcu Bas Fr'!D17</f>
        <v>0</v>
      </c>
      <c r="C29" s="96">
        <v>233</v>
      </c>
      <c r="D29" s="101">
        <f>B29*C29</f>
        <v>0</v>
      </c>
      <c r="E29" s="100">
        <f>'Calcu Bas EN'!C17+'Calcu Bas EN'!D17</f>
        <v>0</v>
      </c>
      <c r="F29" s="96">
        <v>233</v>
      </c>
      <c r="G29" s="97">
        <f>E29*F29</f>
        <v>0</v>
      </c>
      <c r="H29" s="100">
        <f>'Calcu Bas ND'!C17+'Calcu Bas ND'!D17</f>
        <v>0</v>
      </c>
      <c r="I29" s="96">
        <v>233</v>
      </c>
      <c r="J29" s="101">
        <f>H29*I29</f>
        <v>0</v>
      </c>
    </row>
    <row r="30" spans="1:10" ht="19.5" thickBot="1" x14ac:dyDescent="0.35">
      <c r="A30" s="108" t="s">
        <v>68</v>
      </c>
      <c r="B30" s="109">
        <f>'Calcu Bas Fr'!C18+'Calcu Bas Fr'!D18</f>
        <v>1</v>
      </c>
      <c r="C30" s="110">
        <v>246</v>
      </c>
      <c r="D30" s="111">
        <f>B30*C30</f>
        <v>246</v>
      </c>
      <c r="E30" s="109">
        <f>'Calcu Bas EN'!C18+'Calcu Bas EN'!D18</f>
        <v>1</v>
      </c>
      <c r="F30" s="110">
        <v>246</v>
      </c>
      <c r="G30" s="117">
        <f>E30*F30</f>
        <v>246</v>
      </c>
      <c r="H30" s="109">
        <f>'Calcu Bas ND'!C18+'Calcu Bas ND'!D18</f>
        <v>1</v>
      </c>
      <c r="I30" s="110">
        <v>246</v>
      </c>
      <c r="J30" s="111">
        <f>H30*I30</f>
        <v>246</v>
      </c>
    </row>
    <row r="31" spans="1:10" ht="15.75" thickBot="1" x14ac:dyDescent="0.3">
      <c r="B31" s="98"/>
      <c r="D31" s="99"/>
      <c r="E31" s="98"/>
      <c r="G31" s="99"/>
      <c r="H31" s="98"/>
      <c r="J31" s="99"/>
    </row>
    <row r="32" spans="1:10" ht="21.75" thickBot="1" x14ac:dyDescent="0.4">
      <c r="B32" s="182" t="s">
        <v>69</v>
      </c>
      <c r="C32" s="183"/>
      <c r="D32" s="113">
        <f>SUM(D17:D30)</f>
        <v>944</v>
      </c>
      <c r="E32" s="182" t="s">
        <v>69</v>
      </c>
      <c r="F32" s="183"/>
      <c r="G32" s="113">
        <f>SUM(G17:G30)</f>
        <v>944</v>
      </c>
      <c r="H32" s="182" t="s">
        <v>69</v>
      </c>
      <c r="I32" s="183"/>
      <c r="J32" s="113">
        <f>SUM(J17:J30)</f>
        <v>944</v>
      </c>
    </row>
    <row r="33" spans="2:10" ht="15.75" thickBot="1" x14ac:dyDescent="0.3">
      <c r="B33" s="98"/>
      <c r="D33" s="99"/>
      <c r="E33" s="98"/>
      <c r="G33" s="99"/>
      <c r="H33" s="98"/>
      <c r="J33" s="99"/>
    </row>
    <row r="34" spans="2:10" ht="19.5" thickBot="1" x14ac:dyDescent="0.35">
      <c r="B34" s="182" t="s">
        <v>70</v>
      </c>
      <c r="C34" s="183"/>
      <c r="D34" s="114">
        <f>D32*0.72</f>
        <v>679.68</v>
      </c>
      <c r="E34" s="182" t="s">
        <v>70</v>
      </c>
      <c r="F34" s="183"/>
      <c r="G34" s="114">
        <f>G32*0.72</f>
        <v>679.68</v>
      </c>
      <c r="H34" s="182" t="s">
        <v>70</v>
      </c>
      <c r="I34" s="183"/>
      <c r="J34" s="114">
        <f>J32*0.72</f>
        <v>679.68</v>
      </c>
    </row>
  </sheetData>
  <mergeCells count="9">
    <mergeCell ref="B32:C32"/>
    <mergeCell ref="B34:C34"/>
    <mergeCell ref="B14:D14"/>
    <mergeCell ref="E14:G14"/>
    <mergeCell ref="H14:J14"/>
    <mergeCell ref="E32:F32"/>
    <mergeCell ref="E34:F34"/>
    <mergeCell ref="H32:I32"/>
    <mergeCell ref="H34:I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0"/>
  <dimension ref="A2:F22"/>
  <sheetViews>
    <sheetView showRowColHeaders="0" workbookViewId="0">
      <selection activeCell="C6" sqref="C6"/>
    </sheetView>
  </sheetViews>
  <sheetFormatPr baseColWidth="10" defaultColWidth="11.5703125" defaultRowHeight="31.9" customHeight="1" x14ac:dyDescent="0.25"/>
  <cols>
    <col min="1" max="1" width="63.5703125" style="25" bestFit="1" customWidth="1"/>
    <col min="2" max="2" width="5.7109375" style="25" customWidth="1"/>
    <col min="3" max="3" width="14.140625" style="25" customWidth="1"/>
    <col min="4" max="4" width="12.5703125" style="25" customWidth="1"/>
    <col min="5" max="5" width="17.7109375" style="25" customWidth="1"/>
    <col min="6" max="6" width="28.7109375" style="25" customWidth="1"/>
    <col min="7" max="16384" width="11.5703125" style="25"/>
  </cols>
  <sheetData>
    <row r="2" spans="1:6" ht="31.9" customHeight="1" x14ac:dyDescent="0.35">
      <c r="C2" s="73" t="s">
        <v>131</v>
      </c>
    </row>
    <row r="4" spans="1:6" ht="31.9" customHeight="1" x14ac:dyDescent="0.25">
      <c r="A4" s="74" t="s">
        <v>72</v>
      </c>
    </row>
    <row r="5" spans="1:6" ht="40.15" customHeight="1" x14ac:dyDescent="0.35">
      <c r="A5" s="75"/>
      <c r="B5" s="58"/>
      <c r="C5" s="58"/>
      <c r="D5" s="83" t="s">
        <v>32</v>
      </c>
      <c r="E5" s="83" t="s">
        <v>33</v>
      </c>
    </row>
    <row r="6" spans="1:6" ht="31.9" customHeight="1" x14ac:dyDescent="0.5">
      <c r="A6" s="76" t="s">
        <v>143</v>
      </c>
      <c r="B6" s="27"/>
      <c r="C6" s="62">
        <v>96</v>
      </c>
      <c r="D6" s="84" t="str">
        <f>IF(C6=50,"non",IF(C6=96,"non",IF(C6=143,"non",IF(C6=189,"non","oui"))))</f>
        <v>non</v>
      </c>
      <c r="E6" s="85">
        <f>IF(AND(C6&gt;='Données Mad FR'!G8,'Calcu Mad FR'!C6&lt;='Données Mad FR'!H8),'Données Mad FR'!F8,(IF(AND(C6&gt;='Données Mad FR'!G9,'Calcu Mad FR'!C6&lt;='Données Mad FR'!H9),'Données Mad FR'!F9,(IF(AND(C6&gt;='Données Mad FR'!G10,'Calcu Mad FR'!C6&lt;='Données Mad FR'!H10),'Données Mad FR'!F10,(IF(AND(C6&gt;='Données Mad FR'!G11,'Calcu Mad FR'!C6&lt;='Données Mad FR'!H11),'Données Mad FR'!F11,0)))))))</f>
        <v>2</v>
      </c>
    </row>
    <row r="7" spans="1:6" ht="15" customHeight="1" x14ac:dyDescent="0.25">
      <c r="A7" s="77" t="s">
        <v>144</v>
      </c>
      <c r="B7" s="29"/>
      <c r="C7" s="26"/>
      <c r="D7" s="86"/>
      <c r="E7" s="127">
        <f>E6+(IF(C15="Non","0",4))</f>
        <v>2</v>
      </c>
    </row>
    <row r="8" spans="1:6" ht="19.899999999999999" customHeight="1" x14ac:dyDescent="0.25">
      <c r="A8" s="78"/>
      <c r="C8" s="26"/>
      <c r="D8" s="86"/>
    </row>
    <row r="9" spans="1:6" ht="31.9" customHeight="1" x14ac:dyDescent="0.5">
      <c r="A9" s="79" t="s">
        <v>145</v>
      </c>
      <c r="B9" s="30"/>
      <c r="C9" s="62">
        <v>55</v>
      </c>
      <c r="D9" s="84" t="str">
        <f>IF(C9=55,"non","oui")</f>
        <v>non</v>
      </c>
      <c r="E9" s="78"/>
    </row>
    <row r="10" spans="1:6" ht="15" customHeight="1" x14ac:dyDescent="0.25">
      <c r="A10" s="77" t="s">
        <v>34</v>
      </c>
      <c r="B10" s="29"/>
      <c r="C10" s="26"/>
      <c r="D10" s="86"/>
      <c r="E10" s="78"/>
    </row>
    <row r="11" spans="1:6" ht="19.899999999999999" customHeight="1" x14ac:dyDescent="0.25">
      <c r="A11" s="78"/>
      <c r="C11" s="26"/>
      <c r="D11" s="86"/>
      <c r="E11" s="78"/>
    </row>
    <row r="12" spans="1:6" ht="31.9" customHeight="1" x14ac:dyDescent="0.5">
      <c r="A12" s="79" t="s">
        <v>146</v>
      </c>
      <c r="B12" s="30"/>
      <c r="C12" s="62">
        <v>185</v>
      </c>
      <c r="D12" s="84" t="str">
        <f>IF(C12=185,"non","oui")</f>
        <v>non</v>
      </c>
      <c r="E12" s="78"/>
    </row>
    <row r="13" spans="1:6" ht="15" customHeight="1" x14ac:dyDescent="0.25">
      <c r="A13" s="77" t="s">
        <v>35</v>
      </c>
      <c r="B13" s="29"/>
      <c r="C13" s="26"/>
      <c r="D13" s="26"/>
      <c r="F13" s="193" t="s">
        <v>31</v>
      </c>
    </row>
    <row r="14" spans="1:6" ht="19.899999999999999" customHeight="1" x14ac:dyDescent="0.25">
      <c r="A14" s="78"/>
      <c r="C14" s="26"/>
      <c r="D14" s="26"/>
      <c r="F14" s="194"/>
    </row>
    <row r="15" spans="1:6" ht="31.9" customHeight="1" x14ac:dyDescent="0.6">
      <c r="A15" s="80" t="s">
        <v>18</v>
      </c>
      <c r="B15" s="31"/>
      <c r="C15" s="62" t="s">
        <v>136</v>
      </c>
      <c r="D15" s="26"/>
      <c r="F15" s="59">
        <f>'Données Mad FR'!B25*'Données Mad FR'!B26*'Données Mad FR'!B27*'Données Mad FR'!B28*(1+(('Données Mad FR'!B29-'Données Mad FR'!B30)/'Données Mad FR'!B30)*0.5)+'Données Mad FR'!B31+'Données Mad FR'!B32+'Données Mad FR'!B33</f>
        <v>1225.6583591836736</v>
      </c>
    </row>
    <row r="16" spans="1:6" ht="19.899999999999999" customHeight="1" x14ac:dyDescent="0.25">
      <c r="A16" s="81" t="s">
        <v>140</v>
      </c>
      <c r="C16" s="26"/>
      <c r="D16" s="26"/>
    </row>
    <row r="17" spans="1:4" ht="31.9" customHeight="1" x14ac:dyDescent="0.5">
      <c r="A17" s="82" t="s">
        <v>147</v>
      </c>
      <c r="B17" s="31"/>
      <c r="C17" s="62">
        <v>6</v>
      </c>
      <c r="D17" s="26"/>
    </row>
    <row r="18" spans="1:4" ht="19.899999999999999" customHeight="1" x14ac:dyDescent="0.25">
      <c r="A18" s="78"/>
      <c r="C18" s="26"/>
      <c r="D18" s="26"/>
    </row>
    <row r="19" spans="1:4" ht="31.9" customHeight="1" x14ac:dyDescent="0.5">
      <c r="A19" s="82" t="s">
        <v>148</v>
      </c>
      <c r="B19" s="31"/>
      <c r="C19" s="62">
        <v>1</v>
      </c>
      <c r="D19" s="26"/>
    </row>
    <row r="20" spans="1:4" ht="15" customHeight="1" x14ac:dyDescent="0.4">
      <c r="A20" s="79" t="s">
        <v>48</v>
      </c>
      <c r="B20" s="30"/>
      <c r="C20" s="28"/>
      <c r="D20" s="26"/>
    </row>
    <row r="22" spans="1:4" ht="31.9" customHeight="1" x14ac:dyDescent="0.4">
      <c r="B22" s="27"/>
      <c r="D22" s="32"/>
    </row>
  </sheetData>
  <sheetProtection sheet="1" selectLockedCells="1"/>
  <mergeCells count="1">
    <mergeCell ref="F13:F14"/>
  </mergeCells>
  <dataValidations count="2">
    <dataValidation type="whole" allowBlank="1" showInputMessage="1" showErrorMessage="1" sqref="C17:D17" xr:uid="{00000000-0002-0000-0000-000000000000}">
      <formula1>0</formula1>
      <formula2>16</formula2>
    </dataValidation>
    <dataValidation type="whole" allowBlank="1" showInputMessage="1" showErrorMessage="1" sqref="C19:D20" xr:uid="{00000000-0002-0000-0000-000001000000}">
      <formula1>0</formula1>
      <formula2>8</formula2>
    </dataValidation>
  </dataValidations>
  <pageMargins left="0.25" right="0.25" top="0.75" bottom="0.75" header="0.3" footer="0.3"/>
  <pageSetup paperSize="9" scale="65"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33" r:id="rId4" name="Button 17">
              <controlPr defaultSize="0" print="0" autoFill="0" autoPict="0" macro="[0]!PDFMadaFR">
                <anchor moveWithCells="1" sizeWithCells="1">
                  <from>
                    <xdr:col>5</xdr:col>
                    <xdr:colOff>323850</xdr:colOff>
                    <xdr:row>16</xdr:row>
                    <xdr:rowOff>95250</xdr:rowOff>
                  </from>
                  <to>
                    <xdr:col>6</xdr:col>
                    <xdr:colOff>123825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'Données Mad FR'!$G$15:$G$35</xm:f>
          </x14:formula1>
          <xm:sqref>C9:D11</xm:sqref>
        </x14:dataValidation>
        <x14:dataValidation type="list" allowBlank="1" showInputMessage="1" showErrorMessage="1" xr:uid="{00000000-0002-0000-0000-000003000000}">
          <x14:formula1>
            <xm:f>'Données Mad FR'!$H$15:$H$135</xm:f>
          </x14:formula1>
          <xm:sqref>C12:D12</xm:sqref>
        </x14:dataValidation>
        <x14:dataValidation type="list" allowBlank="1" showInputMessage="1" showErrorMessage="1" xr:uid="{00000000-0002-0000-0000-000004000000}">
          <x14:formula1>
            <xm:f>'Données Mad FR'!$F$4:$H$4</xm:f>
          </x14:formula1>
          <xm:sqref>C15:D15</xm:sqref>
        </x14:dataValidation>
        <x14:dataValidation type="list" allowBlank="1" showInputMessage="1" showErrorMessage="1" xr:uid="{00000000-0002-0000-0000-000005000000}">
          <x14:formula1>
            <xm:f>'Données Mad FR'!$F$15:$F$225</xm:f>
          </x14:formula1>
          <xm:sqref>C6:D8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3</vt:i4>
      </vt:variant>
    </vt:vector>
  </HeadingPairs>
  <TitlesOfParts>
    <vt:vector size="21" baseType="lpstr">
      <vt:lpstr>Accueil</vt:lpstr>
      <vt:lpstr>Accueil 2 FR</vt:lpstr>
      <vt:lpstr>Accueil 2 EN</vt:lpstr>
      <vt:lpstr>Accueil 2 ND</vt:lpstr>
      <vt:lpstr>Calcu Bas Fr</vt:lpstr>
      <vt:lpstr>Calcu Bas EN</vt:lpstr>
      <vt:lpstr>Calcu Bas ND</vt:lpstr>
      <vt:lpstr>Données Bas</vt:lpstr>
      <vt:lpstr>Calcu Mad FR</vt:lpstr>
      <vt:lpstr>Calcu Mad EN</vt:lpstr>
      <vt:lpstr>Calcu Mad ND</vt:lpstr>
      <vt:lpstr>Calcu Bur FR</vt:lpstr>
      <vt:lpstr>Calcu Bur EN</vt:lpstr>
      <vt:lpstr>Calcu Bur ND</vt:lpstr>
      <vt:lpstr>Données Bur</vt:lpstr>
      <vt:lpstr>Données Mad FR</vt:lpstr>
      <vt:lpstr>Données Mad EN</vt:lpstr>
      <vt:lpstr>Données Mad NL</vt:lpstr>
      <vt:lpstr>'Données Mad EN'!pieds</vt:lpstr>
      <vt:lpstr>'Données Mad NL'!pieds</vt:lpstr>
      <vt:lpstr>pieds</vt:lpstr>
    </vt:vector>
  </TitlesOfParts>
  <Company>MBB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Bols Arnaud</dc:creator>
  <cp:lastModifiedBy>comite Isnes</cp:lastModifiedBy>
  <cp:lastPrinted>2025-10-07T09:38:04Z</cp:lastPrinted>
  <dcterms:created xsi:type="dcterms:W3CDTF">2024-01-08T13:08:35Z</dcterms:created>
  <dcterms:modified xsi:type="dcterms:W3CDTF">2025-10-20T08:53:32Z</dcterms:modified>
</cp:coreProperties>
</file>